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DieseArbeitsmappe" defaultThemeVersion="124226"/>
  <mc:AlternateContent xmlns:mc="http://schemas.openxmlformats.org/markup-compatibility/2006">
    <mc:Choice Requires="x15">
      <x15ac:absPath xmlns:x15ac="http://schemas.microsoft.com/office/spreadsheetml/2010/11/ac" url="I:\Projekte\Projekte Quartiersentwicklung\Breite_Straße\2_Projektierung\1_Vergabe\Aufgabenstellungen\6_Anlagen WBW\in Arbeit\"/>
    </mc:Choice>
  </mc:AlternateContent>
  <xr:revisionPtr revIDLastSave="0" documentId="13_ncr:1_{1000193F-0D4E-462F-9B99-582A8A20645C}" xr6:coauthVersionLast="47" xr6:coauthVersionMax="47" xr10:uidLastSave="{00000000-0000-0000-0000-000000000000}"/>
  <bookViews>
    <workbookView xWindow="-108" yWindow="-108" windowWidth="30936" windowHeight="16896" activeTab="2" xr2:uid="{9A49D519-8CA2-4626-B622-55AE25C12F9E}"/>
  </bookViews>
  <sheets>
    <sheet name="Deckblatt" sheetId="52" r:id="rId1"/>
    <sheet name="Überblick" sheetId="15" r:id="rId2"/>
    <sheet name="Hochbauplanung" sheetId="8" r:id="rId3"/>
    <sheet name="Berechnung - Hochbau" sheetId="7" state="hidden" r:id="rId4"/>
    <sheet name="Berechnung - Abwasser" sheetId="14" state="hidden" r:id="rId5"/>
    <sheet name="Berechnung - Wärme" sheetId="18" state="hidden" r:id="rId6"/>
    <sheet name="Berechnung - Lufttechnik" sheetId="21" state="hidden" r:id="rId7"/>
    <sheet name="Berechnung - Starkstrom" sheetId="24" state="hidden" r:id="rId8"/>
    <sheet name="Berechnung - Förderanlagen" sheetId="30" state="hidden" r:id="rId9"/>
    <sheet name="Berechnung - Nutzeranlagen" sheetId="32" state="hidden" r:id="rId10"/>
    <sheet name="Berechnung - Gebäudeautomation" sheetId="36" state="hidden" r:id="rId11"/>
    <sheet name="Berechnung - Wärmeschutz" sheetId="44" state="hidden" r:id="rId12"/>
    <sheet name="Berechnung - Bauakustik" sheetId="54" state="hidden" r:id="rId13"/>
    <sheet name="Berechnung - Raumakustik" sheetId="56" state="hidden" r:id="rId14"/>
    <sheet name="Berechnung - Tragswerksplanung" sheetId="38" state="hidden" r:id="rId15"/>
    <sheet name="Berechnung - Freianlagen" sheetId="33" state="hidden" r:id="rId16"/>
    <sheet name="Technische Ausrüstung" sheetId="61" state="hidden" r:id="rId17"/>
    <sheet name="Berechnung - Tech. Ausrüstung" sheetId="62" state="hidden" r:id="rId18"/>
    <sheet name="weitere Besondere Leistungen" sheetId="40" r:id="rId19"/>
    <sheet name="Berechnung besondere Leistungen" sheetId="41" state="hidden" r:id="rId20"/>
    <sheet name="Berechnung - GÜ-Berater" sheetId="50" state="hidden" r:id="rId21"/>
    <sheet name="Auftragsänderungen &amp; -ergänzung" sheetId="46" state="hidden" r:id="rId22"/>
    <sheet name="Angebotszusammenfassung" sheetId="60" state="hidden" r:id="rId23"/>
    <sheet name="Berechnung Auftragsänderung" sheetId="47" state="hidden" r:id="rId24"/>
  </sheets>
  <definedNames>
    <definedName name="ak" localSheetId="12">'Berechnung - Bauakustik'!$B$1:$B$16</definedName>
    <definedName name="ak" localSheetId="15">'Berechnung - Freianlagen'!$B$1:$B$16</definedName>
    <definedName name="ak" localSheetId="20">'Berechnung - GÜ-Berater'!#REF!</definedName>
    <definedName name="ak" localSheetId="3">'Berechnung - Hochbau'!$B$1:$B$15</definedName>
    <definedName name="ak" localSheetId="13">'Berechnung - Raumakustik'!$B$1:$B$16</definedName>
    <definedName name="ak" localSheetId="14">'Berechnung - Tragswerksplanung'!$B$1:$B$16</definedName>
    <definedName name="ak" localSheetId="11">'Berechnung - Wärmeschutz'!$B$1:$B$16</definedName>
    <definedName name="ak" localSheetId="23">'Berechnung Auftragsänderung'!#REF!</definedName>
    <definedName name="ak" localSheetId="19">'Berechnung besondere Leistungen'!#REF!</definedName>
    <definedName name="Brutto">Deckblatt!$F$22</definedName>
    <definedName name="_xlnm.Print_Area" localSheetId="21">'Auftragsänderungen &amp; -ergänzung'!$A$1:$U$115</definedName>
    <definedName name="_xlnm.Print_Area" localSheetId="2">Hochbauplanung!$A$1:$U$320</definedName>
    <definedName name="_xlnm.Print_Area" localSheetId="16">'Technische Ausrüstung'!$A$1:$U$290</definedName>
    <definedName name="_xlnm.Print_Area" localSheetId="1">Überblick!$A$2:$S$132</definedName>
    <definedName name="_xlnm.Print_Area" localSheetId="18">'weitere Besondere Leistungen'!$A$1:$U$390</definedName>
    <definedName name="Nachlass_Prozente">Deckblatt!$F$15</definedName>
    <definedName name="Nachlass_Prozenze">Deckblatt!$F$15</definedName>
    <definedName name="Netto">Deckblatt!$F$13</definedName>
    <definedName name="Netto_Nachlass">Deckblatt!$F$17</definedName>
    <definedName name="Ust">Deckblatt!$F$20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9" i="8" l="1"/>
  <c r="W12" i="41"/>
  <c r="L2" i="40"/>
  <c r="O125" i="15"/>
  <c r="O126" i="15"/>
  <c r="O127" i="15"/>
  <c r="O128" i="15"/>
  <c r="O129" i="15"/>
  <c r="O130" i="15"/>
  <c r="O131" i="15"/>
  <c r="O132" i="15"/>
  <c r="P132" i="15"/>
  <c r="Q132" i="15" s="1"/>
  <c r="P131" i="15"/>
  <c r="Q131" i="15" s="1"/>
  <c r="P130" i="15"/>
  <c r="Q130" i="15" s="1"/>
  <c r="P129" i="15"/>
  <c r="Q129" i="15" s="1"/>
  <c r="P128" i="15"/>
  <c r="Q128" i="15" s="1"/>
  <c r="P127" i="15"/>
  <c r="Q127" i="15" s="1"/>
  <c r="P126" i="15"/>
  <c r="Q126" i="15" s="1"/>
  <c r="P125" i="15"/>
  <c r="Q125" i="15" s="1"/>
  <c r="O124" i="15"/>
  <c r="Q124" i="15" s="1"/>
  <c r="Q349" i="40"/>
  <c r="Q345" i="40"/>
  <c r="Q342" i="40"/>
  <c r="Q339" i="40"/>
  <c r="Q336" i="40"/>
  <c r="Q330" i="40"/>
  <c r="Q328" i="40"/>
  <c r="Q326" i="40"/>
  <c r="Q324" i="40"/>
  <c r="Q322" i="40"/>
  <c r="Q320" i="40"/>
  <c r="Q318" i="40"/>
  <c r="Q316" i="40"/>
  <c r="Q314" i="40"/>
  <c r="Q312" i="40"/>
  <c r="Q310" i="40"/>
  <c r="Q308" i="40"/>
  <c r="Q306" i="40"/>
  <c r="Q304" i="40"/>
  <c r="Q302" i="40"/>
  <c r="Q300" i="40"/>
  <c r="Q297" i="40"/>
  <c r="Q295" i="40"/>
  <c r="Q292" i="40"/>
  <c r="Q290" i="40"/>
  <c r="Q288" i="40"/>
  <c r="Q286" i="40"/>
  <c r="Q284" i="40"/>
  <c r="Q282" i="40"/>
  <c r="Q280" i="40"/>
  <c r="Q278" i="40"/>
  <c r="Q276" i="40"/>
  <c r="Q274" i="40"/>
  <c r="Q272" i="40"/>
  <c r="Q270" i="40"/>
  <c r="Q268" i="40"/>
  <c r="Q266" i="40"/>
  <c r="Q264" i="40"/>
  <c r="Q262" i="40"/>
  <c r="Q257" i="40"/>
  <c r="Q255" i="40"/>
  <c r="Q253" i="40"/>
  <c r="Q249" i="40"/>
  <c r="Q246" i="40"/>
  <c r="Q244" i="40"/>
  <c r="Q242" i="40"/>
  <c r="Q240" i="40"/>
  <c r="Q233" i="40"/>
  <c r="Q231" i="40"/>
  <c r="Q229" i="40"/>
  <c r="Q227" i="40"/>
  <c r="Q225" i="40"/>
  <c r="Q223" i="40"/>
  <c r="Q220" i="40"/>
  <c r="Q218" i="40"/>
  <c r="Q216" i="40"/>
  <c r="Q214" i="40"/>
  <c r="Q212" i="40"/>
  <c r="Q210" i="40"/>
  <c r="Q207" i="40"/>
  <c r="Q205" i="40"/>
  <c r="Q203" i="40"/>
  <c r="Q200" i="40"/>
  <c r="Q195" i="40"/>
  <c r="Q193" i="40"/>
  <c r="Q191" i="40"/>
  <c r="Q189" i="40"/>
  <c r="Q186" i="40"/>
  <c r="Q180" i="40"/>
  <c r="Q178" i="40"/>
  <c r="Q176" i="40"/>
  <c r="Q174" i="40"/>
  <c r="Q172" i="40"/>
  <c r="Q168" i="40"/>
  <c r="Q162" i="40"/>
  <c r="Q160" i="40"/>
  <c r="Q149" i="40"/>
  <c r="Q158" i="40"/>
  <c r="Q156" i="40"/>
  <c r="Q154" i="40"/>
  <c r="Q152" i="40"/>
  <c r="Q143" i="40"/>
  <c r="Q141" i="40"/>
  <c r="Q139" i="40"/>
  <c r="Q137" i="40"/>
  <c r="Q131" i="40"/>
  <c r="Q129" i="40"/>
  <c r="Q127" i="40"/>
  <c r="Q125" i="40"/>
  <c r="Q123" i="40"/>
  <c r="Q120" i="40"/>
  <c r="Q114" i="40"/>
  <c r="Q112" i="40"/>
  <c r="Q110" i="40"/>
  <c r="Q108" i="40"/>
  <c r="Q106" i="40"/>
  <c r="Q104" i="40"/>
  <c r="Q102" i="40"/>
  <c r="Q100" i="40"/>
  <c r="Q98" i="40"/>
  <c r="Q96" i="40"/>
  <c r="Q94" i="40"/>
  <c r="Q92" i="40"/>
  <c r="Q90" i="40"/>
  <c r="Q88" i="40"/>
  <c r="Q86" i="40"/>
  <c r="Q84" i="40"/>
  <c r="Q82" i="40"/>
  <c r="Q80" i="40"/>
  <c r="Q78" i="40"/>
  <c r="Q76" i="40"/>
  <c r="Q74" i="40"/>
  <c r="Q68" i="40"/>
  <c r="Q66" i="40"/>
  <c r="Q64" i="40"/>
  <c r="Q62" i="40"/>
  <c r="Q60" i="40"/>
  <c r="Q58" i="40"/>
  <c r="Q56" i="40"/>
  <c r="Q54" i="40"/>
  <c r="Q52" i="40"/>
  <c r="Q50" i="40"/>
  <c r="Q48" i="40"/>
  <c r="Q46" i="40"/>
  <c r="Q44" i="40"/>
  <c r="Q42" i="40"/>
  <c r="Q40" i="40"/>
  <c r="Q38" i="40"/>
  <c r="Q36" i="40"/>
  <c r="Q34" i="40"/>
  <c r="Q32" i="40"/>
  <c r="Q30" i="40"/>
  <c r="Q28" i="40"/>
  <c r="Q26" i="40"/>
  <c r="Q24" i="40"/>
  <c r="Q22" i="40"/>
  <c r="Q20" i="40"/>
  <c r="Q18" i="40"/>
  <c r="Q16" i="40"/>
  <c r="Q14" i="40"/>
  <c r="Q12" i="40"/>
  <c r="Q10" i="40"/>
  <c r="Q8" i="40"/>
  <c r="AC246" i="61"/>
  <c r="AC236" i="61"/>
  <c r="AC194" i="61"/>
  <c r="AC179" i="61"/>
  <c r="AC154" i="61"/>
  <c r="AC150" i="61"/>
  <c r="AC145" i="61"/>
  <c r="AC144" i="61"/>
  <c r="AC143" i="61"/>
  <c r="AC133" i="61"/>
  <c r="AC128" i="61"/>
  <c r="AC119" i="61"/>
  <c r="AC82" i="61"/>
  <c r="AC55" i="61"/>
  <c r="AC39" i="61"/>
  <c r="V133" i="8"/>
  <c r="J8" i="46"/>
  <c r="G65" i="62"/>
  <c r="G64" i="62"/>
  <c r="K62" i="62"/>
  <c r="I62" i="62"/>
  <c r="G62" i="62"/>
  <c r="N9" i="61"/>
  <c r="J9" i="61"/>
  <c r="F9" i="61"/>
  <c r="B143" i="62"/>
  <c r="B142" i="62"/>
  <c r="B141" i="62"/>
  <c r="B140" i="62"/>
  <c r="B139" i="62"/>
  <c r="B138" i="62"/>
  <c r="B137" i="62"/>
  <c r="B136" i="62"/>
  <c r="B135" i="62"/>
  <c r="D128" i="62"/>
  <c r="I44" i="62"/>
  <c r="F44" i="62"/>
  <c r="I43" i="62"/>
  <c r="F43" i="62"/>
  <c r="I42" i="62"/>
  <c r="F42" i="62"/>
  <c r="I41" i="62"/>
  <c r="F41" i="62"/>
  <c r="I40" i="62"/>
  <c r="F40" i="62"/>
  <c r="I39" i="62"/>
  <c r="F39" i="62"/>
  <c r="I38" i="62"/>
  <c r="F38" i="62"/>
  <c r="I37" i="62"/>
  <c r="F37" i="62"/>
  <c r="I36" i="62"/>
  <c r="F36" i="62"/>
  <c r="I35" i="62"/>
  <c r="F35" i="62"/>
  <c r="I34" i="62"/>
  <c r="F34" i="62"/>
  <c r="I33" i="62"/>
  <c r="F33" i="62"/>
  <c r="I32" i="62"/>
  <c r="F32" i="62"/>
  <c r="I31" i="62"/>
  <c r="F31" i="62"/>
  <c r="I30" i="62"/>
  <c r="F30" i="62"/>
  <c r="I29" i="62"/>
  <c r="F29" i="62"/>
  <c r="I28" i="62"/>
  <c r="F28" i="62"/>
  <c r="I27" i="62"/>
  <c r="F27" i="62"/>
  <c r="I26" i="62"/>
  <c r="F26" i="62"/>
  <c r="B289" i="61"/>
  <c r="B288" i="61"/>
  <c r="B287" i="61"/>
  <c r="B286" i="61"/>
  <c r="B285" i="61"/>
  <c r="B284" i="61"/>
  <c r="B283" i="61"/>
  <c r="B282" i="61"/>
  <c r="B281" i="61"/>
  <c r="G273" i="61"/>
  <c r="G267" i="61"/>
  <c r="G258" i="61"/>
  <c r="G252" i="61"/>
  <c r="R245" i="61"/>
  <c r="L245" i="61"/>
  <c r="Z244" i="61"/>
  <c r="AB243" i="61"/>
  <c r="AB242" i="61"/>
  <c r="V242" i="61"/>
  <c r="AB241" i="61"/>
  <c r="Z241" i="61"/>
  <c r="AB240" i="61"/>
  <c r="AB239" i="61"/>
  <c r="V239" i="61"/>
  <c r="AB238" i="61"/>
  <c r="AB237" i="61"/>
  <c r="AB236" i="61"/>
  <c r="Z236" i="61"/>
  <c r="Z245" i="61" s="1"/>
  <c r="V236" i="61"/>
  <c r="I236" i="61"/>
  <c r="AB235" i="61"/>
  <c r="L235" i="61"/>
  <c r="AB234" i="61"/>
  <c r="AB233" i="61"/>
  <c r="V233" i="61"/>
  <c r="AB232" i="61"/>
  <c r="Z232" i="61"/>
  <c r="AB231" i="61"/>
  <c r="AB230" i="61"/>
  <c r="Z230" i="61"/>
  <c r="V230" i="61"/>
  <c r="AB229" i="61"/>
  <c r="AB228" i="61"/>
  <c r="Z228" i="61"/>
  <c r="AB227" i="61"/>
  <c r="V227" i="61"/>
  <c r="AB226" i="61"/>
  <c r="AB225" i="61"/>
  <c r="AB224" i="61"/>
  <c r="Z224" i="61"/>
  <c r="V224" i="61"/>
  <c r="AB223" i="61"/>
  <c r="Z223" i="61"/>
  <c r="AB222" i="61"/>
  <c r="AB221" i="61"/>
  <c r="V221" i="61"/>
  <c r="AB220" i="61"/>
  <c r="AB219" i="61"/>
  <c r="Z219" i="61"/>
  <c r="AB218" i="61"/>
  <c r="Z218" i="61"/>
  <c r="V218" i="61"/>
  <c r="AB217" i="61"/>
  <c r="Z217" i="61"/>
  <c r="AB216" i="61"/>
  <c r="AB215" i="61"/>
  <c r="V215" i="61"/>
  <c r="AB214" i="61"/>
  <c r="AB213" i="61"/>
  <c r="Z213" i="61"/>
  <c r="AB212" i="61"/>
  <c r="V212" i="61"/>
  <c r="AB211" i="61"/>
  <c r="AB210" i="61"/>
  <c r="AB209" i="61"/>
  <c r="Z209" i="61"/>
  <c r="V209" i="61"/>
  <c r="AB208" i="61"/>
  <c r="Z208" i="61"/>
  <c r="AB207" i="61"/>
  <c r="AB206" i="61"/>
  <c r="V206" i="61"/>
  <c r="AB205" i="61"/>
  <c r="Z205" i="61"/>
  <c r="AB204" i="61"/>
  <c r="Z204" i="61"/>
  <c r="AB203" i="61"/>
  <c r="V203" i="61"/>
  <c r="AB202" i="61"/>
  <c r="Z202" i="61"/>
  <c r="AB201" i="61"/>
  <c r="Z201" i="61"/>
  <c r="AB200" i="61"/>
  <c r="V200" i="61"/>
  <c r="AB199" i="61"/>
  <c r="AB198" i="61"/>
  <c r="AB197" i="61"/>
  <c r="V197" i="61"/>
  <c r="AB196" i="61"/>
  <c r="AB195" i="61"/>
  <c r="AB194" i="61"/>
  <c r="Z194" i="61"/>
  <c r="Z235" i="61" s="1"/>
  <c r="V194" i="61"/>
  <c r="I194" i="61"/>
  <c r="AB193" i="61"/>
  <c r="L193" i="61"/>
  <c r="AB192" i="61"/>
  <c r="AB191" i="61"/>
  <c r="Z191" i="61"/>
  <c r="V191" i="61"/>
  <c r="AB190" i="61"/>
  <c r="AB189" i="61"/>
  <c r="Z189" i="61"/>
  <c r="AB188" i="61"/>
  <c r="V188" i="61"/>
  <c r="AB187" i="61"/>
  <c r="AB186" i="61"/>
  <c r="Z186" i="61"/>
  <c r="AB185" i="61"/>
  <c r="Z185" i="61"/>
  <c r="V185" i="61"/>
  <c r="AB184" i="61"/>
  <c r="AB183" i="61"/>
  <c r="AB182" i="61"/>
  <c r="V182" i="61"/>
  <c r="AB181" i="61"/>
  <c r="AB180" i="61"/>
  <c r="Z180" i="61"/>
  <c r="AB179" i="61"/>
  <c r="Z179" i="61"/>
  <c r="Z193" i="61" s="1"/>
  <c r="V179" i="61"/>
  <c r="I179" i="61"/>
  <c r="AB178" i="61"/>
  <c r="L178" i="61"/>
  <c r="AB177" i="61"/>
  <c r="Z177" i="61"/>
  <c r="V177" i="61"/>
  <c r="AB176" i="61"/>
  <c r="AB175" i="61"/>
  <c r="AB174" i="61"/>
  <c r="Z174" i="61"/>
  <c r="V174" i="61"/>
  <c r="AB173" i="61"/>
  <c r="AB172" i="61"/>
  <c r="AB171" i="61"/>
  <c r="Z171" i="61"/>
  <c r="AB170" i="61"/>
  <c r="V170" i="61"/>
  <c r="AB169" i="61"/>
  <c r="AB168" i="61"/>
  <c r="Z168" i="61"/>
  <c r="AB167" i="61"/>
  <c r="V167" i="61"/>
  <c r="AB166" i="61"/>
  <c r="AB165" i="61"/>
  <c r="AB164" i="61"/>
  <c r="AB163" i="61"/>
  <c r="AB162" i="61"/>
  <c r="AB161" i="61"/>
  <c r="AB160" i="61"/>
  <c r="AB159" i="61"/>
  <c r="AB158" i="61"/>
  <c r="AB157" i="61"/>
  <c r="Z157" i="61"/>
  <c r="V157" i="61"/>
  <c r="AB156" i="61"/>
  <c r="AB155" i="61"/>
  <c r="AB154" i="61"/>
  <c r="Z154" i="61"/>
  <c r="Z178" i="61" s="1"/>
  <c r="V154" i="61"/>
  <c r="I154" i="61"/>
  <c r="AB153" i="61"/>
  <c r="L153" i="61"/>
  <c r="AB152" i="61"/>
  <c r="AB151" i="61"/>
  <c r="AB150" i="61"/>
  <c r="Z150" i="61"/>
  <c r="V150" i="61"/>
  <c r="I150" i="61"/>
  <c r="AB149" i="61"/>
  <c r="AB148" i="61"/>
  <c r="V148" i="61"/>
  <c r="AB147" i="61"/>
  <c r="AB146" i="61"/>
  <c r="AB145" i="61"/>
  <c r="Z145" i="61"/>
  <c r="V145" i="61"/>
  <c r="I145" i="61"/>
  <c r="AB144" i="61"/>
  <c r="Z144" i="61"/>
  <c r="V144" i="61"/>
  <c r="I144" i="61"/>
  <c r="AB143" i="61"/>
  <c r="Z143" i="61"/>
  <c r="V143" i="61"/>
  <c r="I143" i="61"/>
  <c r="AB142" i="61"/>
  <c r="V142" i="61"/>
  <c r="AB141" i="61"/>
  <c r="AB140" i="61"/>
  <c r="AB139" i="61"/>
  <c r="V139" i="61"/>
  <c r="AB138" i="61"/>
  <c r="AB137" i="61"/>
  <c r="AB136" i="61"/>
  <c r="V136" i="61"/>
  <c r="AB135" i="61"/>
  <c r="AB134" i="61"/>
  <c r="AB133" i="61"/>
  <c r="Z133" i="61"/>
  <c r="V133" i="61"/>
  <c r="I133" i="61"/>
  <c r="AB132" i="61"/>
  <c r="AB131" i="61"/>
  <c r="V131" i="61"/>
  <c r="AB130" i="61"/>
  <c r="AB129" i="61"/>
  <c r="AB128" i="61"/>
  <c r="Z128" i="61"/>
  <c r="Z153" i="61" s="1"/>
  <c r="V128" i="61"/>
  <c r="I128" i="61"/>
  <c r="AB127" i="61"/>
  <c r="L127" i="61"/>
  <c r="AB126" i="61"/>
  <c r="AB125" i="61"/>
  <c r="V125" i="61"/>
  <c r="AB124" i="61"/>
  <c r="Z124" i="61"/>
  <c r="AB123" i="61"/>
  <c r="AB122" i="61"/>
  <c r="V122" i="61"/>
  <c r="AB121" i="61"/>
  <c r="AB120" i="61"/>
  <c r="AB119" i="61"/>
  <c r="Z119" i="61"/>
  <c r="Z127" i="61" s="1"/>
  <c r="V119" i="61"/>
  <c r="I119" i="61"/>
  <c r="AB118" i="61"/>
  <c r="AB117" i="61"/>
  <c r="AB116" i="61"/>
  <c r="AB115" i="61"/>
  <c r="L115" i="61"/>
  <c r="AB114" i="61"/>
  <c r="AB113" i="61"/>
  <c r="Z113" i="61"/>
  <c r="V113" i="61"/>
  <c r="AB112" i="61"/>
  <c r="AB111" i="61"/>
  <c r="Z111" i="61"/>
  <c r="AB110" i="61"/>
  <c r="V110" i="61"/>
  <c r="AB109" i="61"/>
  <c r="Z109" i="61"/>
  <c r="AB108" i="61"/>
  <c r="AB107" i="61"/>
  <c r="Z107" i="61"/>
  <c r="V107" i="61"/>
  <c r="AB106" i="61"/>
  <c r="AB105" i="61"/>
  <c r="AB104" i="61"/>
  <c r="V104" i="61"/>
  <c r="AB103" i="61"/>
  <c r="AB102" i="61"/>
  <c r="AB101" i="61"/>
  <c r="Z101" i="61"/>
  <c r="V101" i="61"/>
  <c r="AB100" i="61"/>
  <c r="AB99" i="61"/>
  <c r="AB98" i="61"/>
  <c r="V98" i="61"/>
  <c r="AB97" i="61"/>
  <c r="AB96" i="61"/>
  <c r="AB95" i="61"/>
  <c r="AB94" i="61"/>
  <c r="V94" i="61"/>
  <c r="AB93" i="61"/>
  <c r="AB92" i="61"/>
  <c r="AB91" i="61"/>
  <c r="V91" i="61"/>
  <c r="AB90" i="61"/>
  <c r="AB89" i="61"/>
  <c r="AB88" i="61"/>
  <c r="Z88" i="61"/>
  <c r="V88" i="61"/>
  <c r="AB87" i="61"/>
  <c r="Z87" i="61"/>
  <c r="AB86" i="61"/>
  <c r="AB85" i="61"/>
  <c r="V85" i="61"/>
  <c r="AB84" i="61"/>
  <c r="AB83" i="61"/>
  <c r="AB82" i="61"/>
  <c r="Z82" i="61"/>
  <c r="Z115" i="61" s="1"/>
  <c r="V82" i="61"/>
  <c r="I82" i="61"/>
  <c r="AB81" i="61"/>
  <c r="AB80" i="61"/>
  <c r="AB79" i="61"/>
  <c r="AB78" i="61"/>
  <c r="L78" i="61"/>
  <c r="AB77" i="61"/>
  <c r="AB76" i="61"/>
  <c r="Z76" i="61"/>
  <c r="V76" i="61"/>
  <c r="AB75" i="61"/>
  <c r="AB74" i="61"/>
  <c r="Z74" i="61"/>
  <c r="AB73" i="61"/>
  <c r="V73" i="61"/>
  <c r="AB72" i="61"/>
  <c r="AB71" i="61"/>
  <c r="Z71" i="61"/>
  <c r="AB70" i="61"/>
  <c r="V70" i="61"/>
  <c r="AB69" i="61"/>
  <c r="AB68" i="61"/>
  <c r="AB67" i="61"/>
  <c r="Z67" i="61"/>
  <c r="V67" i="61"/>
  <c r="AB66" i="61"/>
  <c r="AB65" i="61"/>
  <c r="Z65" i="61"/>
  <c r="AB64" i="61"/>
  <c r="V64" i="61"/>
  <c r="AB63" i="61"/>
  <c r="AB62" i="61"/>
  <c r="AB61" i="61"/>
  <c r="V61" i="61"/>
  <c r="AB60" i="61"/>
  <c r="AB59" i="61"/>
  <c r="AB58" i="61"/>
  <c r="V58" i="61"/>
  <c r="AB57" i="61"/>
  <c r="Z57" i="61"/>
  <c r="AB56" i="61"/>
  <c r="AB55" i="61"/>
  <c r="Z55" i="61"/>
  <c r="Z78" i="61" s="1"/>
  <c r="V55" i="61"/>
  <c r="I55" i="61"/>
  <c r="AB54" i="61"/>
  <c r="L54" i="61"/>
  <c r="AB53" i="61"/>
  <c r="V53" i="61"/>
  <c r="AB52" i="61"/>
  <c r="AB51" i="61"/>
  <c r="V51" i="61"/>
  <c r="AB50" i="61"/>
  <c r="V50" i="61"/>
  <c r="AB49" i="61"/>
  <c r="V49" i="61"/>
  <c r="AB48" i="61"/>
  <c r="AB47" i="61"/>
  <c r="V47" i="61"/>
  <c r="AB46" i="61"/>
  <c r="AB45" i="61"/>
  <c r="Z45" i="61"/>
  <c r="AB44" i="61"/>
  <c r="V44" i="61"/>
  <c r="AB43" i="61"/>
  <c r="AB42" i="61"/>
  <c r="Z42" i="61"/>
  <c r="AB41" i="61"/>
  <c r="AB40" i="61"/>
  <c r="AB39" i="61"/>
  <c r="AB245" i="61" s="1"/>
  <c r="Z39" i="61"/>
  <c r="Z54" i="61" s="1"/>
  <c r="V39" i="61"/>
  <c r="T39" i="61"/>
  <c r="I39" i="61"/>
  <c r="R8" i="61"/>
  <c r="N8" i="61"/>
  <c r="J8" i="61"/>
  <c r="F8" i="61"/>
  <c r="S4" i="61"/>
  <c r="S3" i="61"/>
  <c r="S2" i="61"/>
  <c r="B1" i="61"/>
  <c r="P35" i="15"/>
  <c r="P34" i="15"/>
  <c r="B6" i="52"/>
  <c r="Q133" i="15" l="1"/>
  <c r="Q351" i="40"/>
  <c r="P135" i="62"/>
  <c r="P281" i="61" s="1"/>
  <c r="O135" i="62"/>
  <c r="O281" i="61" s="1"/>
  <c r="N135" i="62"/>
  <c r="N281" i="61" s="1"/>
  <c r="M135" i="62"/>
  <c r="M281" i="61" s="1"/>
  <c r="L135" i="62"/>
  <c r="L281" i="61" s="1"/>
  <c r="K135" i="62"/>
  <c r="K281" i="61" s="1"/>
  <c r="J135" i="62"/>
  <c r="J281" i="61" s="1"/>
  <c r="I135" i="62"/>
  <c r="I281" i="61" s="1"/>
  <c r="H135" i="62"/>
  <c r="H281" i="61" s="1"/>
  <c r="G135" i="62"/>
  <c r="G281" i="61" s="1"/>
  <c r="F135" i="62"/>
  <c r="F281" i="61" s="1"/>
  <c r="E135" i="62"/>
  <c r="E281" i="61" s="1"/>
  <c r="D135" i="62"/>
  <c r="D281" i="61" s="1"/>
  <c r="P136" i="62"/>
  <c r="P282" i="61" s="1"/>
  <c r="O136" i="62"/>
  <c r="O282" i="61" s="1"/>
  <c r="N136" i="62"/>
  <c r="N282" i="61" s="1"/>
  <c r="M136" i="62"/>
  <c r="M282" i="61" s="1"/>
  <c r="L136" i="62"/>
  <c r="L282" i="61" s="1"/>
  <c r="K136" i="62"/>
  <c r="K282" i="61" s="1"/>
  <c r="J136" i="62"/>
  <c r="J282" i="61" s="1"/>
  <c r="I136" i="62"/>
  <c r="I282" i="61" s="1"/>
  <c r="H136" i="62"/>
  <c r="H282" i="61" s="1"/>
  <c r="G136" i="62"/>
  <c r="G282" i="61" s="1"/>
  <c r="F136" i="62"/>
  <c r="F282" i="61" s="1"/>
  <c r="E136" i="62"/>
  <c r="E282" i="61" s="1"/>
  <c r="D136" i="62"/>
  <c r="D282" i="61" s="1"/>
  <c r="C136" i="62"/>
  <c r="C282" i="61" s="1"/>
  <c r="Q282" i="61" s="1"/>
  <c r="P137" i="62"/>
  <c r="P283" i="61" s="1"/>
  <c r="O137" i="62"/>
  <c r="O283" i="61" s="1"/>
  <c r="N137" i="62"/>
  <c r="N283" i="61" s="1"/>
  <c r="M137" i="62"/>
  <c r="M283" i="61" s="1"/>
  <c r="L137" i="62"/>
  <c r="L283" i="61" s="1"/>
  <c r="K137" i="62"/>
  <c r="K283" i="61" s="1"/>
  <c r="J137" i="62"/>
  <c r="J283" i="61" s="1"/>
  <c r="I137" i="62"/>
  <c r="I283" i="61" s="1"/>
  <c r="H137" i="62"/>
  <c r="H283" i="61" s="1"/>
  <c r="G137" i="62"/>
  <c r="G283" i="61" s="1"/>
  <c r="F137" i="62"/>
  <c r="F283" i="61" s="1"/>
  <c r="E137" i="62"/>
  <c r="E283" i="61" s="1"/>
  <c r="D137" i="62"/>
  <c r="D283" i="61" s="1"/>
  <c r="C137" i="62"/>
  <c r="C283" i="61" s="1"/>
  <c r="Q283" i="61" s="1"/>
  <c r="E109" i="62"/>
  <c r="H254" i="61"/>
  <c r="E125" i="62"/>
  <c r="E130" i="62" s="1"/>
  <c r="H76" i="62"/>
  <c r="H70" i="62"/>
  <c r="J76" i="62"/>
  <c r="J70" i="62"/>
  <c r="L76" i="62"/>
  <c r="L70" i="62"/>
  <c r="K105" i="62"/>
  <c r="I105" i="62"/>
  <c r="G105" i="62"/>
  <c r="L88" i="62"/>
  <c r="J88" i="62"/>
  <c r="H88" i="62"/>
  <c r="Q136" i="62"/>
  <c r="Q137" i="62"/>
  <c r="B278" i="61"/>
  <c r="B263" i="61"/>
  <c r="B248" i="61"/>
  <c r="R35" i="61"/>
  <c r="R23" i="61"/>
  <c r="S8" i="61"/>
  <c r="V114" i="15" s="1"/>
  <c r="W114" i="15" s="1"/>
  <c r="V246" i="61"/>
  <c r="S124" i="15" s="1"/>
  <c r="I245" i="61"/>
  <c r="I37" i="21"/>
  <c r="D3" i="60"/>
  <c r="L8" i="46"/>
  <c r="J11" i="60"/>
  <c r="J10" i="60"/>
  <c r="N26" i="60"/>
  <c r="J24" i="60"/>
  <c r="J23" i="60"/>
  <c r="J22" i="60"/>
  <c r="J21" i="60"/>
  <c r="J20" i="60"/>
  <c r="J19" i="60"/>
  <c r="J18" i="60"/>
  <c r="J17" i="60"/>
  <c r="J16" i="60"/>
  <c r="J15" i="60"/>
  <c r="J14" i="60"/>
  <c r="J13" i="60"/>
  <c r="P26" i="60"/>
  <c r="F26" i="60" s="1"/>
  <c r="J12" i="60"/>
  <c r="L137" i="40"/>
  <c r="AC62" i="8"/>
  <c r="AC63" i="8"/>
  <c r="AC64" i="8"/>
  <c r="AC65" i="8"/>
  <c r="AC66" i="8"/>
  <c r="AC67" i="8"/>
  <c r="AC68" i="8"/>
  <c r="AC69" i="8"/>
  <c r="AC70" i="8"/>
  <c r="AC71" i="8"/>
  <c r="AC72" i="8"/>
  <c r="AC73" i="8"/>
  <c r="AC74" i="8"/>
  <c r="AC75" i="8"/>
  <c r="AC76" i="8"/>
  <c r="AC77" i="8"/>
  <c r="AC78" i="8"/>
  <c r="AC79" i="8"/>
  <c r="AC80" i="8"/>
  <c r="AC81" i="8"/>
  <c r="AC82" i="8"/>
  <c r="AC83" i="8"/>
  <c r="AC84" i="8"/>
  <c r="AC85" i="8"/>
  <c r="AC86" i="8"/>
  <c r="AC87" i="8"/>
  <c r="AC88" i="8"/>
  <c r="AC89" i="8"/>
  <c r="AC90" i="8"/>
  <c r="AC91" i="8"/>
  <c r="AC92" i="8"/>
  <c r="AC93" i="8"/>
  <c r="AC94" i="8"/>
  <c r="AC95" i="8"/>
  <c r="AC96" i="8"/>
  <c r="AC97" i="8"/>
  <c r="AC98" i="8"/>
  <c r="AC99" i="8"/>
  <c r="AC100" i="8"/>
  <c r="AC101" i="8"/>
  <c r="AC102" i="8"/>
  <c r="AC103" i="8"/>
  <c r="AC104" i="8"/>
  <c r="AC105" i="8"/>
  <c r="AC106" i="8"/>
  <c r="AC107" i="8"/>
  <c r="AC108" i="8"/>
  <c r="AC109" i="8"/>
  <c r="AC110" i="8"/>
  <c r="AC111" i="8"/>
  <c r="AC112" i="8"/>
  <c r="AC113" i="8"/>
  <c r="AC114" i="8"/>
  <c r="AC115" i="8"/>
  <c r="AC116" i="8"/>
  <c r="AC117" i="8"/>
  <c r="AC118" i="8"/>
  <c r="AC119" i="8"/>
  <c r="AC120" i="8"/>
  <c r="AC121" i="8"/>
  <c r="AC122" i="8"/>
  <c r="AC123" i="8"/>
  <c r="AC124" i="8"/>
  <c r="AC125" i="8"/>
  <c r="AC126" i="8"/>
  <c r="AC127" i="8"/>
  <c r="AC128" i="8"/>
  <c r="AC129" i="8"/>
  <c r="AC130" i="8"/>
  <c r="AC131" i="8"/>
  <c r="AC132" i="8"/>
  <c r="AC133" i="8"/>
  <c r="AC134" i="8"/>
  <c r="AC135" i="8"/>
  <c r="AC136" i="8"/>
  <c r="AC137" i="8"/>
  <c r="AC138" i="8"/>
  <c r="AC139" i="8"/>
  <c r="AC140" i="8"/>
  <c r="AC141" i="8"/>
  <c r="AC142" i="8"/>
  <c r="AC143" i="8"/>
  <c r="AC144" i="8"/>
  <c r="AC145" i="8"/>
  <c r="AC146" i="8"/>
  <c r="AC147" i="8"/>
  <c r="AC148" i="8"/>
  <c r="AC149" i="8"/>
  <c r="AC150" i="8"/>
  <c r="AC151" i="8"/>
  <c r="AC152" i="8"/>
  <c r="AC153" i="8"/>
  <c r="AC154" i="8"/>
  <c r="AC155" i="8"/>
  <c r="AC156" i="8"/>
  <c r="AC157" i="8"/>
  <c r="AC158" i="8"/>
  <c r="AC159" i="8"/>
  <c r="AC160" i="8"/>
  <c r="AC161" i="8"/>
  <c r="AC162" i="8"/>
  <c r="AC163" i="8"/>
  <c r="AC164" i="8"/>
  <c r="AC165" i="8"/>
  <c r="AC166" i="8"/>
  <c r="AC167" i="8"/>
  <c r="AC168" i="8"/>
  <c r="AC169" i="8"/>
  <c r="AC170" i="8"/>
  <c r="AC171" i="8"/>
  <c r="AC172" i="8"/>
  <c r="AC173" i="8"/>
  <c r="AC174" i="8"/>
  <c r="AC175" i="8"/>
  <c r="AC176" i="8"/>
  <c r="AC177" i="8"/>
  <c r="AC178" i="8"/>
  <c r="AC179" i="8"/>
  <c r="AC180" i="8"/>
  <c r="AC181" i="8"/>
  <c r="AC182" i="8"/>
  <c r="AC183" i="8"/>
  <c r="AC184" i="8"/>
  <c r="AC185" i="8"/>
  <c r="AC186" i="8"/>
  <c r="AC187" i="8"/>
  <c r="AC188" i="8"/>
  <c r="AC189" i="8"/>
  <c r="AC190" i="8"/>
  <c r="AC191" i="8"/>
  <c r="AC192" i="8"/>
  <c r="AC193" i="8"/>
  <c r="AC194" i="8"/>
  <c r="AC195" i="8"/>
  <c r="AC196" i="8"/>
  <c r="AC197" i="8"/>
  <c r="AC198" i="8"/>
  <c r="AC199" i="8"/>
  <c r="AC200" i="8"/>
  <c r="AC201" i="8"/>
  <c r="AC202" i="8"/>
  <c r="AC203" i="8"/>
  <c r="AC204" i="8"/>
  <c r="AC205" i="8"/>
  <c r="AC206" i="8"/>
  <c r="AC207" i="8"/>
  <c r="AC208" i="8"/>
  <c r="AC209" i="8"/>
  <c r="AC210" i="8"/>
  <c r="AC211" i="8"/>
  <c r="AC212" i="8"/>
  <c r="AC213" i="8"/>
  <c r="AC214" i="8"/>
  <c r="AC215" i="8"/>
  <c r="AC216" i="8"/>
  <c r="AC217" i="8"/>
  <c r="AC218" i="8"/>
  <c r="AC219" i="8"/>
  <c r="AC220" i="8"/>
  <c r="AC221" i="8"/>
  <c r="AC222" i="8"/>
  <c r="AC223" i="8"/>
  <c r="AC224" i="8"/>
  <c r="AC225" i="8"/>
  <c r="AC226" i="8"/>
  <c r="AC227" i="8"/>
  <c r="AC228" i="8"/>
  <c r="AC229" i="8"/>
  <c r="AC230" i="8"/>
  <c r="AC231" i="8"/>
  <c r="AC232" i="8"/>
  <c r="AC233" i="8"/>
  <c r="AC234" i="8"/>
  <c r="AC235" i="8"/>
  <c r="AC236" i="8"/>
  <c r="AC237" i="8"/>
  <c r="AC238" i="8"/>
  <c r="AC239" i="8"/>
  <c r="AC240" i="8"/>
  <c r="AC241" i="8"/>
  <c r="AC242" i="8"/>
  <c r="AC243" i="8"/>
  <c r="AC244" i="8"/>
  <c r="AC245" i="8"/>
  <c r="AC246" i="8"/>
  <c r="AC247" i="8"/>
  <c r="AC248" i="8"/>
  <c r="AC249" i="8"/>
  <c r="AC250" i="8"/>
  <c r="AC251" i="8"/>
  <c r="AC252" i="8"/>
  <c r="AC253" i="8"/>
  <c r="AC254" i="8"/>
  <c r="AC255" i="8"/>
  <c r="AC256" i="8"/>
  <c r="AC257" i="8"/>
  <c r="AC258" i="8"/>
  <c r="AC259" i="8"/>
  <c r="AC260" i="8"/>
  <c r="AC261" i="8"/>
  <c r="AC262" i="8"/>
  <c r="AC263" i="8"/>
  <c r="AC264" i="8"/>
  <c r="AC265" i="8"/>
  <c r="AC266" i="8"/>
  <c r="AC267" i="8"/>
  <c r="AC268" i="8"/>
  <c r="AC269" i="8"/>
  <c r="AC270" i="8"/>
  <c r="AC271" i="8"/>
  <c r="AC61" i="8"/>
  <c r="AC273" i="8" s="1"/>
  <c r="V73" i="8"/>
  <c r="V64" i="8"/>
  <c r="V63" i="8"/>
  <c r="V62" i="8"/>
  <c r="V61" i="8"/>
  <c r="V79" i="8"/>
  <c r="D2" i="60"/>
  <c r="K88" i="62" l="1"/>
  <c r="K74" i="62"/>
  <c r="L74" i="62" s="1"/>
  <c r="K73" i="62"/>
  <c r="L73" i="62" s="1"/>
  <c r="K72" i="62"/>
  <c r="K80" i="62"/>
  <c r="L80" i="62" s="1"/>
  <c r="K79" i="62"/>
  <c r="L79" i="62" s="1"/>
  <c r="K78" i="62"/>
  <c r="I88" i="62"/>
  <c r="I74" i="62"/>
  <c r="J74" i="62" s="1"/>
  <c r="I73" i="62"/>
  <c r="J73" i="62" s="1"/>
  <c r="I72" i="62"/>
  <c r="I80" i="62"/>
  <c r="J80" i="62" s="1"/>
  <c r="I79" i="62"/>
  <c r="J79" i="62" s="1"/>
  <c r="I78" i="62"/>
  <c r="G88" i="62"/>
  <c r="G74" i="62"/>
  <c r="H74" i="62" s="1"/>
  <c r="G73" i="62"/>
  <c r="H73" i="62" s="1"/>
  <c r="G72" i="62"/>
  <c r="G80" i="62"/>
  <c r="H80" i="62" s="1"/>
  <c r="G79" i="62"/>
  <c r="H79" i="62" s="1"/>
  <c r="G78" i="62"/>
  <c r="L94" i="62"/>
  <c r="K94" i="62"/>
  <c r="L96" i="62"/>
  <c r="K96" i="62"/>
  <c r="J94" i="62"/>
  <c r="I94" i="62"/>
  <c r="J96" i="62"/>
  <c r="I96" i="62"/>
  <c r="H94" i="62"/>
  <c r="G94" i="62"/>
  <c r="H96" i="62"/>
  <c r="G96" i="62"/>
  <c r="B139" i="33"/>
  <c r="D128" i="32"/>
  <c r="D128" i="30"/>
  <c r="D128" i="24"/>
  <c r="D128" i="18"/>
  <c r="K4" i="46"/>
  <c r="L4" i="40"/>
  <c r="S4" i="8"/>
  <c r="K3" i="46"/>
  <c r="L3" i="40"/>
  <c r="S3" i="8"/>
  <c r="K2" i="46"/>
  <c r="S2" i="8"/>
  <c r="V113" i="15"/>
  <c r="A120" i="15"/>
  <c r="A102" i="15"/>
  <c r="A84" i="15"/>
  <c r="A55" i="15"/>
  <c r="A51" i="15"/>
  <c r="A42" i="15"/>
  <c r="A37" i="15"/>
  <c r="A32" i="15"/>
  <c r="A27" i="15"/>
  <c r="J25" i="15"/>
  <c r="J24" i="15"/>
  <c r="J23" i="15"/>
  <c r="J22" i="15"/>
  <c r="J21" i="15"/>
  <c r="J19" i="15"/>
  <c r="J26" i="15" s="1"/>
  <c r="S84" i="15" s="1"/>
  <c r="T84" i="15" s="1"/>
  <c r="A17" i="15"/>
  <c r="B17" i="15" s="1"/>
  <c r="L78" i="62" l="1"/>
  <c r="L86" i="62" s="1"/>
  <c r="K86" i="62"/>
  <c r="L72" i="62"/>
  <c r="L85" i="62" s="1"/>
  <c r="L93" i="62" s="1"/>
  <c r="K85" i="62"/>
  <c r="K93" i="62" s="1"/>
  <c r="J78" i="62"/>
  <c r="J86" i="62" s="1"/>
  <c r="I86" i="62"/>
  <c r="J72" i="62"/>
  <c r="J85" i="62" s="1"/>
  <c r="J93" i="62" s="1"/>
  <c r="I85" i="62"/>
  <c r="I93" i="62" s="1"/>
  <c r="H78" i="62"/>
  <c r="H86" i="62" s="1"/>
  <c r="G86" i="62"/>
  <c r="H72" i="62"/>
  <c r="H85" i="62" s="1"/>
  <c r="H93" i="62" s="1"/>
  <c r="G85" i="62"/>
  <c r="G93" i="62" s="1"/>
  <c r="N24" i="60"/>
  <c r="X114" i="15"/>
  <c r="A1" i="61" s="1"/>
  <c r="S122" i="15"/>
  <c r="K87" i="62" l="1"/>
  <c r="K95" i="62" s="1"/>
  <c r="L98" i="62" s="1"/>
  <c r="L105" i="62" s="1"/>
  <c r="N19" i="61" s="1"/>
  <c r="L87" i="62"/>
  <c r="L95" i="62" s="1"/>
  <c r="L102" i="62" s="1"/>
  <c r="I87" i="62"/>
  <c r="I95" i="62" s="1"/>
  <c r="J98" i="62" s="1"/>
  <c r="J105" i="62" s="1"/>
  <c r="J19" i="61" s="1"/>
  <c r="J87" i="62"/>
  <c r="J95" i="62" s="1"/>
  <c r="J102" i="62" s="1"/>
  <c r="G87" i="62"/>
  <c r="G95" i="62" s="1"/>
  <c r="H98" i="62" s="1"/>
  <c r="H105" i="62" s="1"/>
  <c r="F19" i="61" s="1"/>
  <c r="I35" i="61" s="1"/>
  <c r="H87" i="62"/>
  <c r="H95" i="62" s="1"/>
  <c r="H102" i="62" s="1"/>
  <c r="L101" i="62" l="1"/>
  <c r="L100" i="62"/>
  <c r="L99" i="62"/>
  <c r="J101" i="62"/>
  <c r="J100" i="62"/>
  <c r="J99" i="62"/>
  <c r="H101" i="62"/>
  <c r="H100" i="62"/>
  <c r="H99" i="62"/>
  <c r="J55" i="61"/>
  <c r="J39" i="61"/>
  <c r="I78" i="61"/>
  <c r="C143" i="62" l="1"/>
  <c r="C289" i="61" s="1"/>
  <c r="C142" i="62"/>
  <c r="C288" i="61" s="1"/>
  <c r="C141" i="62"/>
  <c r="C287" i="61" s="1"/>
  <c r="C140" i="62"/>
  <c r="C286" i="61" s="1"/>
  <c r="C139" i="62"/>
  <c r="C285" i="61" s="1"/>
  <c r="C138" i="62"/>
  <c r="C284" i="61" s="1"/>
  <c r="D143" i="62"/>
  <c r="D289" i="61" s="1"/>
  <c r="D142" i="62"/>
  <c r="D288" i="61" s="1"/>
  <c r="D141" i="62"/>
  <c r="D287" i="61" s="1"/>
  <c r="D140" i="62"/>
  <c r="D286" i="61" s="1"/>
  <c r="D139" i="62"/>
  <c r="D285" i="61" s="1"/>
  <c r="D138" i="62"/>
  <c r="D284" i="61" s="1"/>
  <c r="J82" i="61"/>
  <c r="I115" i="61"/>
  <c r="C135" i="62"/>
  <c r="C109" i="62"/>
  <c r="E143" i="62" l="1"/>
  <c r="E142" i="62"/>
  <c r="E141" i="62"/>
  <c r="E140" i="62"/>
  <c r="E139" i="62"/>
  <c r="E138" i="62"/>
  <c r="G109" i="62"/>
  <c r="C281" i="61"/>
  <c r="Q281" i="61" s="1"/>
  <c r="Q135" i="62"/>
  <c r="J133" i="61"/>
  <c r="J143" i="61"/>
  <c r="J144" i="61"/>
  <c r="J145" i="61"/>
  <c r="J150" i="61"/>
  <c r="J194" i="61"/>
  <c r="J236" i="61"/>
  <c r="J179" i="61"/>
  <c r="J154" i="61"/>
  <c r="J128" i="61"/>
  <c r="J119" i="61"/>
  <c r="F143" i="62" l="1"/>
  <c r="F289" i="61" s="1"/>
  <c r="F142" i="62"/>
  <c r="F288" i="61" s="1"/>
  <c r="F141" i="62"/>
  <c r="F287" i="61" s="1"/>
  <c r="F140" i="62"/>
  <c r="F286" i="61" s="1"/>
  <c r="F139" i="62"/>
  <c r="F285" i="61" s="1"/>
  <c r="F138" i="62"/>
  <c r="F284" i="61" s="1"/>
  <c r="G143" i="62"/>
  <c r="G289" i="61" s="1"/>
  <c r="G142" i="62"/>
  <c r="G288" i="61" s="1"/>
  <c r="G141" i="62"/>
  <c r="G287" i="61" s="1"/>
  <c r="G140" i="62"/>
  <c r="G286" i="61" s="1"/>
  <c r="G139" i="62"/>
  <c r="G285" i="61" s="1"/>
  <c r="G138" i="62"/>
  <c r="G284" i="61" s="1"/>
  <c r="M143" i="62"/>
  <c r="M289" i="61" s="1"/>
  <c r="M142" i="62"/>
  <c r="M288" i="61" s="1"/>
  <c r="M141" i="62"/>
  <c r="M287" i="61" s="1"/>
  <c r="M140" i="62"/>
  <c r="M286" i="61" s="1"/>
  <c r="M139" i="62"/>
  <c r="M285" i="61" s="1"/>
  <c r="M138" i="62"/>
  <c r="M284" i="61" s="1"/>
  <c r="N143" i="62"/>
  <c r="N289" i="61" s="1"/>
  <c r="N142" i="62"/>
  <c r="N288" i="61" s="1"/>
  <c r="N141" i="62"/>
  <c r="N287" i="61" s="1"/>
  <c r="N140" i="62"/>
  <c r="N286" i="61" s="1"/>
  <c r="N139" i="62"/>
  <c r="N285" i="61" s="1"/>
  <c r="N138" i="62"/>
  <c r="N284" i="61" s="1"/>
  <c r="P143" i="62"/>
  <c r="P289" i="61" s="1"/>
  <c r="P142" i="62"/>
  <c r="P288" i="61" s="1"/>
  <c r="P141" i="62"/>
  <c r="P287" i="61" s="1"/>
  <c r="P140" i="62"/>
  <c r="P286" i="61" s="1"/>
  <c r="P139" i="62"/>
  <c r="P285" i="61" s="1"/>
  <c r="P138" i="62"/>
  <c r="P284" i="61" s="1"/>
  <c r="O143" i="62"/>
  <c r="O289" i="61" s="1"/>
  <c r="O142" i="62"/>
  <c r="O288" i="61" s="1"/>
  <c r="O141" i="62"/>
  <c r="O287" i="61" s="1"/>
  <c r="O140" i="62"/>
  <c r="O286" i="61" s="1"/>
  <c r="O139" i="62"/>
  <c r="O285" i="61" s="1"/>
  <c r="O138" i="62"/>
  <c r="O284" i="61" s="1"/>
  <c r="L143" i="62"/>
  <c r="L289" i="61" s="1"/>
  <c r="L142" i="62"/>
  <c r="L288" i="61" s="1"/>
  <c r="L141" i="62"/>
  <c r="L287" i="61" s="1"/>
  <c r="L140" i="62"/>
  <c r="L286" i="61" s="1"/>
  <c r="L139" i="62"/>
  <c r="L285" i="61" s="1"/>
  <c r="L138" i="62"/>
  <c r="L284" i="61" s="1"/>
  <c r="K143" i="62"/>
  <c r="K289" i="61" s="1"/>
  <c r="K142" i="62"/>
  <c r="K288" i="61" s="1"/>
  <c r="K141" i="62"/>
  <c r="K287" i="61" s="1"/>
  <c r="K140" i="62"/>
  <c r="K286" i="61" s="1"/>
  <c r="K139" i="62"/>
  <c r="K285" i="61" s="1"/>
  <c r="K138" i="62"/>
  <c r="K284" i="61" s="1"/>
  <c r="J143" i="62"/>
  <c r="J289" i="61" s="1"/>
  <c r="J142" i="62"/>
  <c r="J288" i="61" s="1"/>
  <c r="J141" i="62"/>
  <c r="J287" i="61" s="1"/>
  <c r="J140" i="62"/>
  <c r="J286" i="61" s="1"/>
  <c r="J139" i="62"/>
  <c r="J285" i="61" s="1"/>
  <c r="J138" i="62"/>
  <c r="J284" i="61" s="1"/>
  <c r="I143" i="62"/>
  <c r="I289" i="61" s="1"/>
  <c r="I142" i="62"/>
  <c r="I288" i="61" s="1"/>
  <c r="I141" i="62"/>
  <c r="I287" i="61" s="1"/>
  <c r="I140" i="62"/>
  <c r="I286" i="61" s="1"/>
  <c r="I139" i="62"/>
  <c r="I285" i="61" s="1"/>
  <c r="I138" i="62"/>
  <c r="I284" i="61" s="1"/>
  <c r="H143" i="62"/>
  <c r="H289" i="61" s="1"/>
  <c r="H142" i="62"/>
  <c r="H288" i="61" s="1"/>
  <c r="H141" i="62"/>
  <c r="H287" i="61" s="1"/>
  <c r="H140" i="62"/>
  <c r="H286" i="61" s="1"/>
  <c r="H139" i="62"/>
  <c r="H285" i="61" s="1"/>
  <c r="H138" i="62"/>
  <c r="H284" i="61" s="1"/>
  <c r="E284" i="61"/>
  <c r="Q284" i="61" s="1"/>
  <c r="Q138" i="62"/>
  <c r="E285" i="61"/>
  <c r="Q285" i="61" s="1"/>
  <c r="Q139" i="62"/>
  <c r="E286" i="61"/>
  <c r="Q286" i="61" s="1"/>
  <c r="Q140" i="62"/>
  <c r="E287" i="61"/>
  <c r="Q287" i="61" s="1"/>
  <c r="Q141" i="62"/>
  <c r="E288" i="61"/>
  <c r="Q288" i="61" s="1"/>
  <c r="Q142" i="62"/>
  <c r="E289" i="61"/>
  <c r="Q143" i="62"/>
  <c r="J245" i="61"/>
  <c r="H250" i="61" s="1"/>
  <c r="Q144" i="62" l="1"/>
  <c r="H252" i="61"/>
  <c r="H256" i="61"/>
  <c r="K252" i="61"/>
  <c r="L24" i="60"/>
  <c r="P24" i="60" s="1"/>
  <c r="T1" i="8"/>
  <c r="J10" i="46"/>
  <c r="J12" i="46"/>
  <c r="J14" i="46"/>
  <c r="J16" i="46"/>
  <c r="J18" i="46"/>
  <c r="J20" i="46"/>
  <c r="J22" i="46"/>
  <c r="J24" i="46"/>
  <c r="J26" i="46"/>
  <c r="J28" i="46"/>
  <c r="J30" i="46"/>
  <c r="J32" i="46"/>
  <c r="J34" i="46"/>
  <c r="J36" i="46"/>
  <c r="J38" i="46"/>
  <c r="J40" i="46"/>
  <c r="J42" i="46"/>
  <c r="J44" i="46"/>
  <c r="J46" i="46"/>
  <c r="J48" i="46"/>
  <c r="J50" i="46"/>
  <c r="J52" i="46"/>
  <c r="J54" i="46"/>
  <c r="J56" i="46"/>
  <c r="J58" i="46"/>
  <c r="J60" i="46"/>
  <c r="J62" i="46"/>
  <c r="J64" i="46"/>
  <c r="J66" i="46"/>
  <c r="J68" i="46"/>
  <c r="J70" i="46"/>
  <c r="J72" i="46"/>
  <c r="J74" i="46"/>
  <c r="M207" i="40"/>
  <c r="M220" i="40"/>
  <c r="M233" i="40"/>
  <c r="M246" i="40"/>
  <c r="M249" i="40"/>
  <c r="M257" i="40"/>
  <c r="M292" i="40"/>
  <c r="M297" i="40"/>
  <c r="M345" i="40"/>
  <c r="W10" i="41" s="1"/>
  <c r="M342" i="40"/>
  <c r="W9" i="41" s="1"/>
  <c r="M339" i="40"/>
  <c r="W8" i="41" s="1"/>
  <c r="M336" i="40"/>
  <c r="M349" i="40"/>
  <c r="W11" i="41" s="1"/>
  <c r="M302" i="40"/>
  <c r="M304" i="40"/>
  <c r="M306" i="40"/>
  <c r="M308" i="40"/>
  <c r="M310" i="40"/>
  <c r="M312" i="40"/>
  <c r="M314" i="40"/>
  <c r="M316" i="40"/>
  <c r="M318" i="40"/>
  <c r="M320" i="40"/>
  <c r="M322" i="40"/>
  <c r="M324" i="40"/>
  <c r="M326" i="40"/>
  <c r="M328" i="40"/>
  <c r="M330" i="40"/>
  <c r="M300" i="40"/>
  <c r="M295" i="40"/>
  <c r="M278" i="40"/>
  <c r="M280" i="40"/>
  <c r="M282" i="40"/>
  <c r="M284" i="40"/>
  <c r="M286" i="40"/>
  <c r="M288" i="40"/>
  <c r="M290" i="40"/>
  <c r="M264" i="40"/>
  <c r="M266" i="40"/>
  <c r="M268" i="40"/>
  <c r="M270" i="40"/>
  <c r="M272" i="40"/>
  <c r="M274" i="40"/>
  <c r="M276" i="40"/>
  <c r="M262" i="40"/>
  <c r="M255" i="40"/>
  <c r="M253" i="40"/>
  <c r="M242" i="40"/>
  <c r="M244" i="40"/>
  <c r="M240" i="40"/>
  <c r="M231" i="40"/>
  <c r="M225" i="40"/>
  <c r="M227" i="40"/>
  <c r="M229" i="40"/>
  <c r="M223" i="40"/>
  <c r="M212" i="40"/>
  <c r="M214" i="40"/>
  <c r="M216" i="40"/>
  <c r="M218" i="40"/>
  <c r="M210" i="40"/>
  <c r="M205" i="40"/>
  <c r="M203" i="40"/>
  <c r="M200" i="40"/>
  <c r="M195" i="40"/>
  <c r="M186" i="40"/>
  <c r="M191" i="40"/>
  <c r="M193" i="40"/>
  <c r="M189" i="40"/>
  <c r="M174" i="40"/>
  <c r="M176" i="40"/>
  <c r="M178" i="40"/>
  <c r="M180" i="40"/>
  <c r="M172" i="40"/>
  <c r="M168" i="40"/>
  <c r="M149" i="40"/>
  <c r="M154" i="40"/>
  <c r="M156" i="40"/>
  <c r="M158" i="40"/>
  <c r="M160" i="40"/>
  <c r="M162" i="40"/>
  <c r="M152" i="40"/>
  <c r="M139" i="40"/>
  <c r="M141" i="40"/>
  <c r="M143" i="40"/>
  <c r="M137" i="40"/>
  <c r="M125" i="40"/>
  <c r="M127" i="40"/>
  <c r="M129" i="40"/>
  <c r="M131" i="40"/>
  <c r="M123" i="40"/>
  <c r="M120" i="40"/>
  <c r="M102" i="40"/>
  <c r="M104" i="40"/>
  <c r="M106" i="40"/>
  <c r="M108" i="40"/>
  <c r="M110" i="40"/>
  <c r="M112" i="40"/>
  <c r="M114" i="40"/>
  <c r="M86" i="40"/>
  <c r="M88" i="40"/>
  <c r="M90" i="40"/>
  <c r="M92" i="40"/>
  <c r="M94" i="40"/>
  <c r="M96" i="40"/>
  <c r="M98" i="40"/>
  <c r="M100" i="40"/>
  <c r="M76" i="40"/>
  <c r="M78" i="40"/>
  <c r="M80" i="40"/>
  <c r="M82" i="40"/>
  <c r="M84" i="40"/>
  <c r="M74" i="40"/>
  <c r="M10" i="40"/>
  <c r="M12" i="40"/>
  <c r="M14" i="40"/>
  <c r="M16" i="40"/>
  <c r="M18" i="40"/>
  <c r="M20" i="40"/>
  <c r="M22" i="40"/>
  <c r="M24" i="40"/>
  <c r="M26" i="40"/>
  <c r="M28" i="40"/>
  <c r="M30" i="40"/>
  <c r="M32" i="40"/>
  <c r="M34" i="40"/>
  <c r="M36" i="40"/>
  <c r="M38" i="40"/>
  <c r="M40" i="40"/>
  <c r="M42" i="40"/>
  <c r="M44" i="40"/>
  <c r="M46" i="40"/>
  <c r="M48" i="40"/>
  <c r="M50" i="40"/>
  <c r="M52" i="40"/>
  <c r="M54" i="40"/>
  <c r="M56" i="40"/>
  <c r="M58" i="40"/>
  <c r="M60" i="40"/>
  <c r="M62" i="40"/>
  <c r="M64" i="40"/>
  <c r="B33" i="41" s="1"/>
  <c r="M66" i="40"/>
  <c r="B34" i="41" s="1"/>
  <c r="M68" i="40"/>
  <c r="B35" i="41" s="1"/>
  <c r="C110" i="21"/>
  <c r="B132" i="15"/>
  <c r="B131" i="15"/>
  <c r="B130" i="15"/>
  <c r="B129" i="15"/>
  <c r="B128" i="15"/>
  <c r="B127" i="15"/>
  <c r="B126" i="15"/>
  <c r="B125" i="15"/>
  <c r="B124" i="15"/>
  <c r="N129" i="15"/>
  <c r="T154" i="61" s="1"/>
  <c r="N130" i="15"/>
  <c r="T179" i="61" s="1"/>
  <c r="N131" i="15"/>
  <c r="T194" i="61" s="1"/>
  <c r="N132" i="15"/>
  <c r="T236" i="61" s="1"/>
  <c r="N125" i="15"/>
  <c r="T55" i="61" s="1"/>
  <c r="N126" i="15"/>
  <c r="T82" i="61" s="1"/>
  <c r="N127" i="15"/>
  <c r="T119" i="61" s="1"/>
  <c r="N128" i="15"/>
  <c r="N124" i="15"/>
  <c r="B30" i="15"/>
  <c r="B84" i="15"/>
  <c r="L1" i="46" l="1"/>
  <c r="T1" i="61"/>
  <c r="E122" i="62"/>
  <c r="C122" i="62"/>
  <c r="G122" i="62" s="1"/>
  <c r="E121" i="62"/>
  <c r="C121" i="62"/>
  <c r="G121" i="62" s="1"/>
  <c r="E120" i="62"/>
  <c r="C120" i="62"/>
  <c r="G120" i="62" s="1"/>
  <c r="E119" i="62"/>
  <c r="C119" i="62"/>
  <c r="G119" i="62" s="1"/>
  <c r="T150" i="61"/>
  <c r="T145" i="61"/>
  <c r="T144" i="61"/>
  <c r="T143" i="61"/>
  <c r="T133" i="61"/>
  <c r="T128" i="61"/>
  <c r="E112" i="62"/>
  <c r="C112" i="62"/>
  <c r="G112" i="62" s="1"/>
  <c r="E111" i="62"/>
  <c r="C111" i="62"/>
  <c r="G111" i="62" s="1"/>
  <c r="E110" i="62"/>
  <c r="C110" i="62"/>
  <c r="H258" i="61"/>
  <c r="H260" i="61" s="1"/>
  <c r="C122" i="21"/>
  <c r="C121" i="21"/>
  <c r="C120" i="21"/>
  <c r="C119" i="21"/>
  <c r="C118" i="21"/>
  <c r="C117" i="21"/>
  <c r="C116" i="21"/>
  <c r="C115" i="21"/>
  <c r="C114" i="21"/>
  <c r="C113" i="21"/>
  <c r="J99" i="56"/>
  <c r="J97" i="56"/>
  <c r="J97" i="54"/>
  <c r="J97" i="44"/>
  <c r="C112" i="21"/>
  <c r="C111" i="21"/>
  <c r="T61" i="8"/>
  <c r="M8" i="40"/>
  <c r="M1" i="40"/>
  <c r="T105" i="8"/>
  <c r="T143" i="8"/>
  <c r="T156" i="8"/>
  <c r="T162" i="8"/>
  <c r="T172" i="8"/>
  <c r="T215" i="8"/>
  <c r="E114" i="14"/>
  <c r="T133" i="8"/>
  <c r="T149" i="8"/>
  <c r="T160" i="8"/>
  <c r="T166" i="8"/>
  <c r="T198" i="8"/>
  <c r="T263" i="8"/>
  <c r="P36" i="15"/>
  <c r="S87" i="15" s="1"/>
  <c r="T87" i="15" s="1"/>
  <c r="B319" i="8"/>
  <c r="C143" i="21"/>
  <c r="D143" i="21"/>
  <c r="E143" i="21"/>
  <c r="F143" i="21"/>
  <c r="G143" i="21"/>
  <c r="H143" i="21"/>
  <c r="I143" i="21"/>
  <c r="J143" i="21"/>
  <c r="K143" i="21"/>
  <c r="L143" i="21"/>
  <c r="M143" i="21"/>
  <c r="N143" i="21"/>
  <c r="O143" i="21"/>
  <c r="P143" i="21"/>
  <c r="R9" i="8"/>
  <c r="AC272" i="8"/>
  <c r="L74" i="46"/>
  <c r="L72" i="46"/>
  <c r="L70" i="46"/>
  <c r="L68" i="46"/>
  <c r="L66" i="46"/>
  <c r="L64" i="46"/>
  <c r="L62" i="46"/>
  <c r="L60" i="46"/>
  <c r="L58" i="46"/>
  <c r="L56" i="46"/>
  <c r="L54" i="46"/>
  <c r="L52" i="46"/>
  <c r="L50" i="46"/>
  <c r="L48" i="46"/>
  <c r="L46" i="46"/>
  <c r="L44" i="46"/>
  <c r="L42" i="46"/>
  <c r="L40" i="46"/>
  <c r="L38" i="46"/>
  <c r="L36" i="46"/>
  <c r="L34" i="46"/>
  <c r="L32" i="46"/>
  <c r="L30" i="46"/>
  <c r="L28" i="46"/>
  <c r="L26" i="46"/>
  <c r="L24" i="46"/>
  <c r="L22" i="46"/>
  <c r="L20" i="46"/>
  <c r="L18" i="46"/>
  <c r="L16" i="46"/>
  <c r="L14" i="46"/>
  <c r="L12" i="46"/>
  <c r="L10" i="46"/>
  <c r="P152" i="40"/>
  <c r="P74" i="40"/>
  <c r="P255" i="40"/>
  <c r="P10" i="40"/>
  <c r="P12" i="40"/>
  <c r="P14" i="40"/>
  <c r="P16" i="40"/>
  <c r="P18" i="40"/>
  <c r="P20" i="40"/>
  <c r="P22" i="40"/>
  <c r="P24" i="40"/>
  <c r="P26" i="40"/>
  <c r="P28" i="40"/>
  <c r="P30" i="40"/>
  <c r="P32" i="40"/>
  <c r="P34" i="40"/>
  <c r="P36" i="40"/>
  <c r="P38" i="40"/>
  <c r="P40" i="40"/>
  <c r="P42" i="40"/>
  <c r="P44" i="40"/>
  <c r="P46" i="40"/>
  <c r="P48" i="40"/>
  <c r="P50" i="40"/>
  <c r="P52" i="40"/>
  <c r="P54" i="40"/>
  <c r="P56" i="40"/>
  <c r="P58" i="40"/>
  <c r="P60" i="40"/>
  <c r="P62" i="40"/>
  <c r="P64" i="40"/>
  <c r="P66" i="40"/>
  <c r="P68" i="40"/>
  <c r="P76" i="40"/>
  <c r="P78" i="40"/>
  <c r="P80" i="40"/>
  <c r="P82" i="40"/>
  <c r="P84" i="40"/>
  <c r="P86" i="40"/>
  <c r="P88" i="40"/>
  <c r="P90" i="40"/>
  <c r="P92" i="40"/>
  <c r="P94" i="40"/>
  <c r="P96" i="40"/>
  <c r="P98" i="40"/>
  <c r="P100" i="40"/>
  <c r="P102" i="40"/>
  <c r="P104" i="40"/>
  <c r="P106" i="40"/>
  <c r="P108" i="40"/>
  <c r="P110" i="40"/>
  <c r="P112" i="40"/>
  <c r="P114" i="40"/>
  <c r="P120" i="40"/>
  <c r="P123" i="40"/>
  <c r="P125" i="40"/>
  <c r="P127" i="40"/>
  <c r="P129" i="40"/>
  <c r="P131" i="40"/>
  <c r="P137" i="40"/>
  <c r="P139" i="40"/>
  <c r="P141" i="40"/>
  <c r="P143" i="40"/>
  <c r="P149" i="40"/>
  <c r="P154" i="40"/>
  <c r="P156" i="40"/>
  <c r="P158" i="40"/>
  <c r="P160" i="40"/>
  <c r="P162" i="40"/>
  <c r="P168" i="40"/>
  <c r="P172" i="40"/>
  <c r="P174" i="40"/>
  <c r="P176" i="40"/>
  <c r="P178" i="40"/>
  <c r="P180" i="40"/>
  <c r="P186" i="40"/>
  <c r="P189" i="40"/>
  <c r="P191" i="40"/>
  <c r="P193" i="40"/>
  <c r="P195" i="40"/>
  <c r="P200" i="40"/>
  <c r="P203" i="40"/>
  <c r="P205" i="40"/>
  <c r="P207" i="40"/>
  <c r="P210" i="40"/>
  <c r="P212" i="40"/>
  <c r="P214" i="40"/>
  <c r="P216" i="40"/>
  <c r="P218" i="40"/>
  <c r="P220" i="40"/>
  <c r="P223" i="40"/>
  <c r="P225" i="40"/>
  <c r="P227" i="40"/>
  <c r="P229" i="40"/>
  <c r="P231" i="40"/>
  <c r="P233" i="40"/>
  <c r="P240" i="40"/>
  <c r="P242" i="40"/>
  <c r="P244" i="40"/>
  <c r="P246" i="40"/>
  <c r="P249" i="40"/>
  <c r="P253" i="40"/>
  <c r="P257" i="40"/>
  <c r="P262" i="40"/>
  <c r="P264" i="40"/>
  <c r="P266" i="40"/>
  <c r="P268" i="40"/>
  <c r="P270" i="40"/>
  <c r="P272" i="40"/>
  <c r="P274" i="40"/>
  <c r="P276" i="40"/>
  <c r="P278" i="40"/>
  <c r="P280" i="40"/>
  <c r="P282" i="40"/>
  <c r="P284" i="40"/>
  <c r="P286" i="40"/>
  <c r="P288" i="40"/>
  <c r="P290" i="40"/>
  <c r="P292" i="40"/>
  <c r="P295" i="40"/>
  <c r="P297" i="40"/>
  <c r="P300" i="40"/>
  <c r="P302" i="40"/>
  <c r="P304" i="40"/>
  <c r="P306" i="40"/>
  <c r="P308" i="40"/>
  <c r="P310" i="40"/>
  <c r="P312" i="40"/>
  <c r="P314" i="40"/>
  <c r="P316" i="40"/>
  <c r="P318" i="40"/>
  <c r="P320" i="40"/>
  <c r="P322" i="40"/>
  <c r="P324" i="40"/>
  <c r="P326" i="40"/>
  <c r="P328" i="40"/>
  <c r="P330" i="40"/>
  <c r="P336" i="40"/>
  <c r="P339" i="40"/>
  <c r="P342" i="40"/>
  <c r="P345" i="40"/>
  <c r="P349" i="40"/>
  <c r="P8" i="40"/>
  <c r="E78" i="15"/>
  <c r="B120" i="15"/>
  <c r="O349" i="40"/>
  <c r="O345" i="40"/>
  <c r="O342" i="40"/>
  <c r="O339" i="40"/>
  <c r="O336" i="40"/>
  <c r="P48" i="15"/>
  <c r="P46" i="15"/>
  <c r="P45" i="15"/>
  <c r="F9" i="8"/>
  <c r="F10" i="8"/>
  <c r="E113" i="62" l="1"/>
  <c r="C113" i="62"/>
  <c r="G113" i="62" s="1"/>
  <c r="E114" i="62"/>
  <c r="C114" i="62"/>
  <c r="G114" i="62" s="1"/>
  <c r="E115" i="62"/>
  <c r="C115" i="62"/>
  <c r="G115" i="62" s="1"/>
  <c r="E116" i="62"/>
  <c r="C116" i="62"/>
  <c r="G116" i="62" s="1"/>
  <c r="E117" i="62"/>
  <c r="C117" i="62"/>
  <c r="G117" i="62" s="1"/>
  <c r="E118" i="62"/>
  <c r="C118" i="62"/>
  <c r="G118" i="62" s="1"/>
  <c r="G110" i="62"/>
  <c r="C123" i="62"/>
  <c r="V103" i="15"/>
  <c r="P351" i="40"/>
  <c r="Q143" i="21"/>
  <c r="S9" i="8"/>
  <c r="V116" i="15"/>
  <c r="L76" i="46"/>
  <c r="V117" i="15" s="1"/>
  <c r="P49" i="15"/>
  <c r="S90" i="15" s="1"/>
  <c r="D232" i="41"/>
  <c r="E232" i="41"/>
  <c r="F232" i="41"/>
  <c r="G232" i="41"/>
  <c r="H232" i="41"/>
  <c r="I232" i="41"/>
  <c r="J232" i="41"/>
  <c r="D233" i="41"/>
  <c r="E233" i="41"/>
  <c r="F233" i="41"/>
  <c r="G233" i="41"/>
  <c r="H233" i="41"/>
  <c r="I233" i="41"/>
  <c r="J233" i="41"/>
  <c r="D234" i="41"/>
  <c r="E234" i="41"/>
  <c r="F234" i="41"/>
  <c r="G234" i="41"/>
  <c r="H234" i="41"/>
  <c r="I234" i="41"/>
  <c r="J234" i="41"/>
  <c r="D235" i="41"/>
  <c r="E235" i="41"/>
  <c r="F235" i="41"/>
  <c r="G235" i="41"/>
  <c r="H235" i="41"/>
  <c r="I235" i="41"/>
  <c r="J235" i="41"/>
  <c r="C233" i="41"/>
  <c r="D231" i="41"/>
  <c r="E231" i="41"/>
  <c r="F231" i="41"/>
  <c r="G231" i="41"/>
  <c r="H231" i="41"/>
  <c r="I231" i="41"/>
  <c r="J231" i="41"/>
  <c r="C230" i="41"/>
  <c r="L349" i="40"/>
  <c r="C235" i="41" s="1"/>
  <c r="L345" i="40"/>
  <c r="C234" i="41" s="1"/>
  <c r="L342" i="40"/>
  <c r="K233" i="41" s="1"/>
  <c r="L339" i="40"/>
  <c r="C232" i="41" s="1"/>
  <c r="L336" i="40"/>
  <c r="W7" i="41" s="1"/>
  <c r="W71" i="41" s="1"/>
  <c r="J333" i="40"/>
  <c r="E125" i="18"/>
  <c r="C231" i="41" l="1"/>
  <c r="L351" i="40"/>
  <c r="E123" i="62"/>
  <c r="H269" i="61" s="1"/>
  <c r="C125" i="62"/>
  <c r="C130" i="62" s="1"/>
  <c r="E132" i="62" s="1"/>
  <c r="H265" i="61"/>
  <c r="T90" i="15"/>
  <c r="J236" i="41"/>
  <c r="H236" i="41"/>
  <c r="F236" i="41"/>
  <c r="D236" i="41"/>
  <c r="C236" i="41"/>
  <c r="K232" i="41"/>
  <c r="K234" i="41"/>
  <c r="I236" i="41"/>
  <c r="K235" i="41"/>
  <c r="G236" i="41"/>
  <c r="E236" i="41"/>
  <c r="K231" i="41"/>
  <c r="I58" i="33"/>
  <c r="I70" i="33" s="1"/>
  <c r="J70" i="33" s="1"/>
  <c r="P29" i="33"/>
  <c r="P30" i="33"/>
  <c r="P31" i="33"/>
  <c r="P32" i="33"/>
  <c r="P33" i="33"/>
  <c r="P34" i="33"/>
  <c r="P35" i="33"/>
  <c r="P36" i="33"/>
  <c r="P37" i="33"/>
  <c r="P38" i="33"/>
  <c r="P39" i="33"/>
  <c r="P40" i="33"/>
  <c r="P41" i="33"/>
  <c r="P42" i="33"/>
  <c r="P43" i="33"/>
  <c r="P44" i="33"/>
  <c r="P45" i="33"/>
  <c r="P46" i="33"/>
  <c r="P28" i="33"/>
  <c r="M46" i="33"/>
  <c r="M45" i="33"/>
  <c r="M44" i="33"/>
  <c r="M43" i="33"/>
  <c r="M42" i="33"/>
  <c r="M41" i="33"/>
  <c r="M40" i="33"/>
  <c r="M39" i="33"/>
  <c r="M38" i="33"/>
  <c r="M37" i="33"/>
  <c r="M36" i="33"/>
  <c r="M35" i="33"/>
  <c r="M34" i="33"/>
  <c r="M33" i="33"/>
  <c r="M32" i="33"/>
  <c r="M31" i="33"/>
  <c r="M30" i="33"/>
  <c r="M29" i="33"/>
  <c r="H267" i="61" l="1"/>
  <c r="H271" i="61"/>
  <c r="H273" i="61" s="1"/>
  <c r="H275" i="61" s="1"/>
  <c r="J76" i="33"/>
  <c r="K236" i="41"/>
  <c r="J68" i="33"/>
  <c r="I73" i="33" s="1"/>
  <c r="J73" i="33" s="1"/>
  <c r="I79" i="33"/>
  <c r="I72" i="33"/>
  <c r="J72" i="33" s="1"/>
  <c r="I74" i="33"/>
  <c r="J74" i="33" s="1"/>
  <c r="I71" i="33"/>
  <c r="J71" i="33" s="1"/>
  <c r="J79" i="33"/>
  <c r="I78" i="33"/>
  <c r="I80" i="33"/>
  <c r="I82" i="33"/>
  <c r="J82" i="33" s="1"/>
  <c r="J80" i="33"/>
  <c r="I81" i="33"/>
  <c r="J81" i="33" s="1"/>
  <c r="J78" i="33"/>
  <c r="M28" i="33"/>
  <c r="J46" i="33"/>
  <c r="J45" i="33"/>
  <c r="J44" i="33"/>
  <c r="J43" i="33"/>
  <c r="J42" i="33"/>
  <c r="J41" i="33"/>
  <c r="J40" i="33"/>
  <c r="J39" i="33"/>
  <c r="J38" i="33"/>
  <c r="J37" i="33"/>
  <c r="J36" i="33"/>
  <c r="J35" i="33"/>
  <c r="J34" i="33"/>
  <c r="J33" i="33"/>
  <c r="J32" i="33"/>
  <c r="J31" i="33"/>
  <c r="J30" i="33"/>
  <c r="J29" i="33"/>
  <c r="J28" i="33"/>
  <c r="G46" i="33"/>
  <c r="G45" i="33"/>
  <c r="G44" i="33"/>
  <c r="G43" i="33"/>
  <c r="G42" i="33"/>
  <c r="G41" i="33"/>
  <c r="G40" i="33"/>
  <c r="G39" i="33"/>
  <c r="G38" i="33"/>
  <c r="G37" i="33"/>
  <c r="G36" i="33"/>
  <c r="G35" i="33"/>
  <c r="G34" i="33"/>
  <c r="G33" i="33"/>
  <c r="G32" i="33"/>
  <c r="G31" i="33"/>
  <c r="G30" i="33"/>
  <c r="G29" i="33"/>
  <c r="G28" i="33"/>
  <c r="P46" i="38" l="1"/>
  <c r="P45" i="38"/>
  <c r="P44" i="38"/>
  <c r="P43" i="38"/>
  <c r="P42" i="38"/>
  <c r="P41" i="38"/>
  <c r="P40" i="38"/>
  <c r="P39" i="38"/>
  <c r="P38" i="38"/>
  <c r="P37" i="38"/>
  <c r="P36" i="38"/>
  <c r="P35" i="38"/>
  <c r="P34" i="38"/>
  <c r="P33" i="38"/>
  <c r="P32" i="38"/>
  <c r="P31" i="38"/>
  <c r="P30" i="38"/>
  <c r="P29" i="38"/>
  <c r="P28" i="38"/>
  <c r="M46" i="38"/>
  <c r="M45" i="38"/>
  <c r="M44" i="38"/>
  <c r="M43" i="38"/>
  <c r="M42" i="38"/>
  <c r="M41" i="38"/>
  <c r="M40" i="38"/>
  <c r="M39" i="38"/>
  <c r="M38" i="38"/>
  <c r="M37" i="38"/>
  <c r="M36" i="38"/>
  <c r="M35" i="38"/>
  <c r="M34" i="38"/>
  <c r="M33" i="38"/>
  <c r="M32" i="38"/>
  <c r="M31" i="38"/>
  <c r="M30" i="38"/>
  <c r="M29" i="38"/>
  <c r="M28" i="38"/>
  <c r="J46" i="38"/>
  <c r="J45" i="38"/>
  <c r="J44" i="38"/>
  <c r="J43" i="38"/>
  <c r="J42" i="38"/>
  <c r="J41" i="38"/>
  <c r="J40" i="38"/>
  <c r="J39" i="38"/>
  <c r="J38" i="38"/>
  <c r="J37" i="38"/>
  <c r="J36" i="38"/>
  <c r="J35" i="38"/>
  <c r="J34" i="38"/>
  <c r="J33" i="38"/>
  <c r="J32" i="38"/>
  <c r="J31" i="38"/>
  <c r="J30" i="38"/>
  <c r="J29" i="38"/>
  <c r="J28" i="38"/>
  <c r="G46" i="38"/>
  <c r="G45" i="38"/>
  <c r="G44" i="38"/>
  <c r="G43" i="38"/>
  <c r="G42" i="38"/>
  <c r="G41" i="38"/>
  <c r="G40" i="38"/>
  <c r="G39" i="38"/>
  <c r="G38" i="38"/>
  <c r="G37" i="38"/>
  <c r="G36" i="38"/>
  <c r="G35" i="38"/>
  <c r="G34" i="38"/>
  <c r="G33" i="38"/>
  <c r="G32" i="38"/>
  <c r="G31" i="38"/>
  <c r="G30" i="38"/>
  <c r="G29" i="38"/>
  <c r="G28" i="38"/>
  <c r="I44" i="36"/>
  <c r="F44" i="36"/>
  <c r="I43" i="36"/>
  <c r="F43" i="36"/>
  <c r="I42" i="36"/>
  <c r="F42" i="36"/>
  <c r="I41" i="36"/>
  <c r="F41" i="36"/>
  <c r="I40" i="36"/>
  <c r="F40" i="36"/>
  <c r="I39" i="36"/>
  <c r="F39" i="36"/>
  <c r="I38" i="36"/>
  <c r="F38" i="36"/>
  <c r="I37" i="36"/>
  <c r="F37" i="36"/>
  <c r="I36" i="36"/>
  <c r="F36" i="36"/>
  <c r="I35" i="36"/>
  <c r="F35" i="36"/>
  <c r="I34" i="36"/>
  <c r="F34" i="36"/>
  <c r="I33" i="36"/>
  <c r="F33" i="36"/>
  <c r="I32" i="36"/>
  <c r="F32" i="36"/>
  <c r="I31" i="36"/>
  <c r="F31" i="36"/>
  <c r="I30" i="36"/>
  <c r="F30" i="36"/>
  <c r="I29" i="36"/>
  <c r="F29" i="36"/>
  <c r="I28" i="36"/>
  <c r="F28" i="36"/>
  <c r="I27" i="36"/>
  <c r="F27" i="36"/>
  <c r="I26" i="36"/>
  <c r="F26" i="36"/>
  <c r="I44" i="32"/>
  <c r="F44" i="32"/>
  <c r="I43" i="32"/>
  <c r="F43" i="32"/>
  <c r="I42" i="32"/>
  <c r="F42" i="32"/>
  <c r="I41" i="32"/>
  <c r="F41" i="32"/>
  <c r="I40" i="32"/>
  <c r="F40" i="32"/>
  <c r="I39" i="32"/>
  <c r="F39" i="32"/>
  <c r="I38" i="32"/>
  <c r="F38" i="32"/>
  <c r="I37" i="32"/>
  <c r="F37" i="32"/>
  <c r="I36" i="32"/>
  <c r="F36" i="32"/>
  <c r="I35" i="32"/>
  <c r="F35" i="32"/>
  <c r="I34" i="32"/>
  <c r="F34" i="32"/>
  <c r="I33" i="32"/>
  <c r="F33" i="32"/>
  <c r="I32" i="32"/>
  <c r="F32" i="32"/>
  <c r="I31" i="32"/>
  <c r="F31" i="32"/>
  <c r="I30" i="32"/>
  <c r="F30" i="32"/>
  <c r="I29" i="32"/>
  <c r="F29" i="32"/>
  <c r="I28" i="32"/>
  <c r="F28" i="32"/>
  <c r="I27" i="32"/>
  <c r="F27" i="32"/>
  <c r="I26" i="32"/>
  <c r="F26" i="32"/>
  <c r="I44" i="30"/>
  <c r="F44" i="30"/>
  <c r="I43" i="30"/>
  <c r="F43" i="30"/>
  <c r="I42" i="30"/>
  <c r="F42" i="30"/>
  <c r="I41" i="30"/>
  <c r="F41" i="30"/>
  <c r="I40" i="30"/>
  <c r="F40" i="30"/>
  <c r="I39" i="30"/>
  <c r="F39" i="30"/>
  <c r="I38" i="30"/>
  <c r="F38" i="30"/>
  <c r="I37" i="30"/>
  <c r="F37" i="30"/>
  <c r="I36" i="30"/>
  <c r="F36" i="30"/>
  <c r="I35" i="30"/>
  <c r="F35" i="30"/>
  <c r="I34" i="30"/>
  <c r="F34" i="30"/>
  <c r="I33" i="30"/>
  <c r="F33" i="30"/>
  <c r="I32" i="30"/>
  <c r="F32" i="30"/>
  <c r="I31" i="30"/>
  <c r="F31" i="30"/>
  <c r="I30" i="30"/>
  <c r="F30" i="30"/>
  <c r="I29" i="30"/>
  <c r="F29" i="30"/>
  <c r="I28" i="30"/>
  <c r="F28" i="30"/>
  <c r="I27" i="30"/>
  <c r="F27" i="30"/>
  <c r="I26" i="30"/>
  <c r="F26" i="30"/>
  <c r="I44" i="24"/>
  <c r="F44" i="24"/>
  <c r="I43" i="24"/>
  <c r="F43" i="24"/>
  <c r="I42" i="24"/>
  <c r="F42" i="24"/>
  <c r="I41" i="24"/>
  <c r="F41" i="24"/>
  <c r="I40" i="24"/>
  <c r="F40" i="24"/>
  <c r="I39" i="24"/>
  <c r="F39" i="24"/>
  <c r="I38" i="24"/>
  <c r="F38" i="24"/>
  <c r="I37" i="24"/>
  <c r="F37" i="24"/>
  <c r="I36" i="24"/>
  <c r="F36" i="24"/>
  <c r="I35" i="24"/>
  <c r="F35" i="24"/>
  <c r="I34" i="24"/>
  <c r="F34" i="24"/>
  <c r="I33" i="24"/>
  <c r="F33" i="24"/>
  <c r="I32" i="24"/>
  <c r="F32" i="24"/>
  <c r="I31" i="24"/>
  <c r="F31" i="24"/>
  <c r="I30" i="24"/>
  <c r="F30" i="24"/>
  <c r="I29" i="24"/>
  <c r="F29" i="24"/>
  <c r="I28" i="24"/>
  <c r="F28" i="24"/>
  <c r="I27" i="24"/>
  <c r="F27" i="24"/>
  <c r="I26" i="24"/>
  <c r="F26" i="24"/>
  <c r="I44" i="21"/>
  <c r="F44" i="21"/>
  <c r="I43" i="21"/>
  <c r="F43" i="21"/>
  <c r="I42" i="21"/>
  <c r="F42" i="21"/>
  <c r="I41" i="21"/>
  <c r="F41" i="21"/>
  <c r="I40" i="21"/>
  <c r="F40" i="21"/>
  <c r="I39" i="21"/>
  <c r="F39" i="21"/>
  <c r="I38" i="21"/>
  <c r="F38" i="21"/>
  <c r="F37" i="21"/>
  <c r="I36" i="21"/>
  <c r="F36" i="21"/>
  <c r="I35" i="21"/>
  <c r="F35" i="21"/>
  <c r="I34" i="21"/>
  <c r="F34" i="21"/>
  <c r="I33" i="21"/>
  <c r="F33" i="21"/>
  <c r="I32" i="21"/>
  <c r="F32" i="21"/>
  <c r="I31" i="21"/>
  <c r="F31" i="21"/>
  <c r="I30" i="21"/>
  <c r="F30" i="21"/>
  <c r="I29" i="21"/>
  <c r="F29" i="21"/>
  <c r="I28" i="21"/>
  <c r="F28" i="21"/>
  <c r="I27" i="21"/>
  <c r="F27" i="21"/>
  <c r="I26" i="21"/>
  <c r="F26" i="21"/>
  <c r="I44" i="18"/>
  <c r="F44" i="18"/>
  <c r="I43" i="18"/>
  <c r="F43" i="18"/>
  <c r="I42" i="18"/>
  <c r="F42" i="18"/>
  <c r="I41" i="18"/>
  <c r="F41" i="18"/>
  <c r="I40" i="18"/>
  <c r="F40" i="18"/>
  <c r="I39" i="18"/>
  <c r="F39" i="18"/>
  <c r="I38" i="18"/>
  <c r="F38" i="18"/>
  <c r="I37" i="18"/>
  <c r="F37" i="18"/>
  <c r="I36" i="18"/>
  <c r="F36" i="18"/>
  <c r="I35" i="18"/>
  <c r="F35" i="18"/>
  <c r="I34" i="18"/>
  <c r="F34" i="18"/>
  <c r="I33" i="18"/>
  <c r="F33" i="18"/>
  <c r="I32" i="18"/>
  <c r="F32" i="18"/>
  <c r="I31" i="18"/>
  <c r="F31" i="18"/>
  <c r="I30" i="18"/>
  <c r="F30" i="18"/>
  <c r="I29" i="18"/>
  <c r="F29" i="18"/>
  <c r="I28" i="18"/>
  <c r="F28" i="18"/>
  <c r="I27" i="18"/>
  <c r="F27" i="18"/>
  <c r="I26" i="18"/>
  <c r="F26" i="18"/>
  <c r="I28" i="14"/>
  <c r="I29" i="14"/>
  <c r="I30" i="14"/>
  <c r="I31" i="14"/>
  <c r="I32" i="14"/>
  <c r="I33" i="14"/>
  <c r="I34" i="14"/>
  <c r="I35" i="14"/>
  <c r="I36" i="14"/>
  <c r="I37" i="14"/>
  <c r="I38" i="14"/>
  <c r="I39" i="14"/>
  <c r="I40" i="14"/>
  <c r="I41" i="14"/>
  <c r="I42" i="14"/>
  <c r="I43" i="14"/>
  <c r="I44" i="14"/>
  <c r="I27" i="14"/>
  <c r="I26" i="14"/>
  <c r="F28" i="14"/>
  <c r="F29" i="14"/>
  <c r="F30" i="14"/>
  <c r="F31" i="14"/>
  <c r="F32" i="14"/>
  <c r="F33" i="14"/>
  <c r="F34" i="14"/>
  <c r="F35" i="14"/>
  <c r="F36" i="14"/>
  <c r="F37" i="14"/>
  <c r="F38" i="14"/>
  <c r="F39" i="14"/>
  <c r="F40" i="14"/>
  <c r="F41" i="14"/>
  <c r="F42" i="14"/>
  <c r="F43" i="14"/>
  <c r="F44" i="14"/>
  <c r="F27" i="14"/>
  <c r="F26" i="14"/>
  <c r="P46" i="7"/>
  <c r="P45" i="7"/>
  <c r="P32" i="7"/>
  <c r="P39" i="7"/>
  <c r="P43" i="7"/>
  <c r="P29" i="7"/>
  <c r="P28" i="7"/>
  <c r="M46" i="7"/>
  <c r="M45" i="7"/>
  <c r="M28" i="7"/>
  <c r="M30" i="7"/>
  <c r="M32" i="7"/>
  <c r="M34" i="7"/>
  <c r="M36" i="7"/>
  <c r="M38" i="7"/>
  <c r="M40" i="7"/>
  <c r="M42" i="7"/>
  <c r="M44" i="7"/>
  <c r="M37" i="7"/>
  <c r="M39" i="7"/>
  <c r="J46" i="7"/>
  <c r="J45" i="7"/>
  <c r="G46" i="7"/>
  <c r="G45" i="7"/>
  <c r="P30" i="7"/>
  <c r="P31" i="7"/>
  <c r="P33" i="7"/>
  <c r="P34" i="7"/>
  <c r="P35" i="7"/>
  <c r="P36" i="7"/>
  <c r="P37" i="7"/>
  <c r="P38" i="7"/>
  <c r="P40" i="7"/>
  <c r="P41" i="7"/>
  <c r="P42" i="7"/>
  <c r="P44" i="7"/>
  <c r="M29" i="7"/>
  <c r="M31" i="7"/>
  <c r="M33" i="7"/>
  <c r="M35" i="7"/>
  <c r="M41" i="7"/>
  <c r="M43" i="7"/>
  <c r="J29" i="7"/>
  <c r="J30" i="7"/>
  <c r="J31" i="7"/>
  <c r="J32" i="7"/>
  <c r="J33" i="7"/>
  <c r="J34" i="7"/>
  <c r="J35" i="7"/>
  <c r="J36" i="7"/>
  <c r="J37" i="7"/>
  <c r="J38" i="7"/>
  <c r="J39" i="7"/>
  <c r="J40" i="7"/>
  <c r="J41" i="7"/>
  <c r="J42" i="7"/>
  <c r="J43" i="7"/>
  <c r="J44" i="7"/>
  <c r="J28" i="7"/>
  <c r="G29" i="7" l="1"/>
  <c r="G30" i="7"/>
  <c r="G31" i="7"/>
  <c r="G32" i="7"/>
  <c r="G33" i="7"/>
  <c r="G34" i="7"/>
  <c r="G35" i="7"/>
  <c r="G36" i="7"/>
  <c r="G37" i="7"/>
  <c r="G38" i="7"/>
  <c r="G39" i="7"/>
  <c r="G40" i="7"/>
  <c r="G41" i="7"/>
  <c r="G42" i="7"/>
  <c r="G43" i="7"/>
  <c r="G44" i="7"/>
  <c r="G28" i="7"/>
  <c r="B387" i="40"/>
  <c r="O328" i="40"/>
  <c r="L328" i="40"/>
  <c r="O318" i="40"/>
  <c r="L318" i="40"/>
  <c r="O308" i="40"/>
  <c r="L308" i="40"/>
  <c r="O288" i="40"/>
  <c r="L288" i="40"/>
  <c r="O286" i="40"/>
  <c r="L286" i="40"/>
  <c r="O284" i="40"/>
  <c r="L284" i="40"/>
  <c r="O282" i="40"/>
  <c r="L282" i="40"/>
  <c r="O280" i="40"/>
  <c r="L280" i="40"/>
  <c r="O278" i="40"/>
  <c r="L278" i="40"/>
  <c r="O268" i="40"/>
  <c r="L268" i="40"/>
  <c r="O218" i="40"/>
  <c r="L218" i="40"/>
  <c r="O189" i="40"/>
  <c r="L189" i="40"/>
  <c r="O186" i="40"/>
  <c r="L186" i="40"/>
  <c r="Z180" i="40"/>
  <c r="O180" i="40"/>
  <c r="L180" i="40"/>
  <c r="O178" i="40"/>
  <c r="L178" i="40"/>
  <c r="O168" i="40"/>
  <c r="L168" i="40"/>
  <c r="O158" i="40"/>
  <c r="L158" i="40"/>
  <c r="O108" i="40"/>
  <c r="L108" i="40"/>
  <c r="O98" i="40"/>
  <c r="L98" i="40"/>
  <c r="O8" i="40"/>
  <c r="L8" i="40"/>
  <c r="O18" i="40"/>
  <c r="L18" i="40"/>
  <c r="O28" i="40"/>
  <c r="L28" i="40"/>
  <c r="O68" i="40"/>
  <c r="L68" i="40"/>
  <c r="O58" i="40"/>
  <c r="L58" i="40"/>
  <c r="O48" i="40"/>
  <c r="L48" i="40"/>
  <c r="O38" i="40"/>
  <c r="L38" i="40"/>
  <c r="O78" i="40"/>
  <c r="L78" i="40"/>
  <c r="O80" i="40"/>
  <c r="L80" i="40"/>
  <c r="O82" i="40"/>
  <c r="L82" i="40"/>
  <c r="O84" i="40"/>
  <c r="L84" i="40"/>
  <c r="O86" i="40"/>
  <c r="L86" i="40"/>
  <c r="O88" i="40"/>
  <c r="L88" i="40"/>
  <c r="D166" i="41"/>
  <c r="E166" i="41"/>
  <c r="F166" i="41"/>
  <c r="G166" i="41"/>
  <c r="H166" i="41"/>
  <c r="I166" i="41"/>
  <c r="J166" i="41"/>
  <c r="K166" i="41"/>
  <c r="D167" i="41"/>
  <c r="E167" i="41"/>
  <c r="F167" i="41"/>
  <c r="G167" i="41"/>
  <c r="H167" i="41"/>
  <c r="I167" i="41"/>
  <c r="J167" i="41"/>
  <c r="K167" i="41"/>
  <c r="D168" i="41"/>
  <c r="E168" i="41"/>
  <c r="F168" i="41"/>
  <c r="G168" i="41"/>
  <c r="H168" i="41"/>
  <c r="I168" i="41"/>
  <c r="J168" i="41"/>
  <c r="K168" i="41"/>
  <c r="D169" i="41"/>
  <c r="E169" i="41"/>
  <c r="F169" i="41"/>
  <c r="G169" i="41"/>
  <c r="H169" i="41"/>
  <c r="I169" i="41"/>
  <c r="J169" i="41"/>
  <c r="K169" i="41"/>
  <c r="D170" i="41"/>
  <c r="E170" i="41"/>
  <c r="F170" i="41"/>
  <c r="G170" i="41"/>
  <c r="H170" i="41"/>
  <c r="I170" i="41"/>
  <c r="J170" i="41"/>
  <c r="K170" i="41"/>
  <c r="D171" i="41"/>
  <c r="E171" i="41"/>
  <c r="F171" i="41"/>
  <c r="G171" i="41"/>
  <c r="H171" i="41"/>
  <c r="I171" i="41"/>
  <c r="J171" i="41"/>
  <c r="K171" i="41"/>
  <c r="D172" i="41"/>
  <c r="E172" i="41"/>
  <c r="F172" i="41"/>
  <c r="G172" i="41"/>
  <c r="H172" i="41"/>
  <c r="I172" i="41"/>
  <c r="J172" i="41"/>
  <c r="K172" i="41"/>
  <c r="D173" i="41"/>
  <c r="E173" i="41"/>
  <c r="F173" i="41"/>
  <c r="G173" i="41"/>
  <c r="H173" i="41"/>
  <c r="I173" i="41"/>
  <c r="D174" i="41"/>
  <c r="E174" i="41"/>
  <c r="F174" i="41"/>
  <c r="G174" i="41"/>
  <c r="H174" i="41"/>
  <c r="I174" i="41"/>
  <c r="J174" i="41"/>
  <c r="K174" i="41"/>
  <c r="D175" i="41"/>
  <c r="E175" i="41"/>
  <c r="F175" i="41"/>
  <c r="G175" i="41"/>
  <c r="H175" i="41"/>
  <c r="I175" i="41"/>
  <c r="J175" i="41"/>
  <c r="K175" i="41"/>
  <c r="D176" i="41"/>
  <c r="E176" i="41"/>
  <c r="F176" i="41"/>
  <c r="G176" i="41"/>
  <c r="H176" i="41"/>
  <c r="I176" i="41"/>
  <c r="J176" i="41"/>
  <c r="K176" i="41"/>
  <c r="D177" i="41"/>
  <c r="E177" i="41"/>
  <c r="F177" i="41"/>
  <c r="G177" i="41"/>
  <c r="H177" i="41"/>
  <c r="I177" i="41"/>
  <c r="J177" i="41"/>
  <c r="K177" i="41"/>
  <c r="D178" i="41"/>
  <c r="E178" i="41"/>
  <c r="F178" i="41"/>
  <c r="G178" i="41"/>
  <c r="H178" i="41"/>
  <c r="I178" i="41"/>
  <c r="J178" i="41"/>
  <c r="K178" i="41"/>
  <c r="D179" i="41"/>
  <c r="E179" i="41"/>
  <c r="F179" i="41"/>
  <c r="G179" i="41"/>
  <c r="H179" i="41"/>
  <c r="I179" i="41"/>
  <c r="J179" i="41"/>
  <c r="K179" i="41"/>
  <c r="D180" i="41"/>
  <c r="E180" i="41"/>
  <c r="F180" i="41"/>
  <c r="G180" i="41"/>
  <c r="H180" i="41"/>
  <c r="I180" i="41"/>
  <c r="J180" i="41"/>
  <c r="K180" i="41"/>
  <c r="D181" i="41"/>
  <c r="E181" i="41"/>
  <c r="F181" i="41"/>
  <c r="G181" i="41"/>
  <c r="H181" i="41"/>
  <c r="I181" i="41"/>
  <c r="J181" i="41"/>
  <c r="K181" i="41"/>
  <c r="D182" i="41"/>
  <c r="E182" i="41"/>
  <c r="F182" i="41"/>
  <c r="G182" i="41"/>
  <c r="H182" i="41"/>
  <c r="I182" i="41"/>
  <c r="J182" i="41"/>
  <c r="K182" i="41"/>
  <c r="D183" i="41"/>
  <c r="E183" i="41"/>
  <c r="F183" i="41"/>
  <c r="G183" i="41"/>
  <c r="H183" i="41"/>
  <c r="I183" i="41"/>
  <c r="D184" i="41"/>
  <c r="E184" i="41"/>
  <c r="F184" i="41"/>
  <c r="G184" i="41"/>
  <c r="H184" i="41"/>
  <c r="I184" i="41"/>
  <c r="J184" i="41"/>
  <c r="K184" i="41"/>
  <c r="D185" i="41"/>
  <c r="E185" i="41"/>
  <c r="F185" i="41"/>
  <c r="G185" i="41"/>
  <c r="H185" i="41"/>
  <c r="I185" i="41"/>
  <c r="J185" i="41"/>
  <c r="K185" i="41"/>
  <c r="D186" i="41"/>
  <c r="E186" i="41"/>
  <c r="F186" i="41"/>
  <c r="G186" i="41"/>
  <c r="H186" i="41"/>
  <c r="I186" i="41"/>
  <c r="J186" i="41"/>
  <c r="K186" i="41"/>
  <c r="D187" i="41"/>
  <c r="E187" i="41"/>
  <c r="F187" i="41"/>
  <c r="G187" i="41"/>
  <c r="H187" i="41"/>
  <c r="I187" i="41"/>
  <c r="J187" i="41"/>
  <c r="K187" i="41"/>
  <c r="D188" i="41"/>
  <c r="E188" i="41"/>
  <c r="F188" i="41"/>
  <c r="G188" i="41"/>
  <c r="H188" i="41"/>
  <c r="I188" i="41"/>
  <c r="J188" i="41"/>
  <c r="K188" i="41"/>
  <c r="D189" i="41"/>
  <c r="E189" i="41"/>
  <c r="F189" i="41"/>
  <c r="G189" i="41"/>
  <c r="H189" i="41"/>
  <c r="I189" i="41"/>
  <c r="J189" i="41"/>
  <c r="K189" i="41"/>
  <c r="D190" i="41"/>
  <c r="E190" i="41"/>
  <c r="F190" i="41"/>
  <c r="G190" i="41"/>
  <c r="H190" i="41"/>
  <c r="I190" i="41"/>
  <c r="J190" i="41"/>
  <c r="K190" i="41"/>
  <c r="D191" i="41"/>
  <c r="E191" i="41"/>
  <c r="F191" i="41"/>
  <c r="G191" i="41"/>
  <c r="H191" i="41"/>
  <c r="I191" i="41"/>
  <c r="J191" i="41"/>
  <c r="K191" i="41"/>
  <c r="D192" i="41"/>
  <c r="E192" i="41"/>
  <c r="F192" i="41"/>
  <c r="G192" i="41"/>
  <c r="H192" i="41"/>
  <c r="I192" i="41"/>
  <c r="J192" i="41"/>
  <c r="K192" i="41"/>
  <c r="D193" i="41"/>
  <c r="E193" i="41"/>
  <c r="F193" i="41"/>
  <c r="G193" i="41"/>
  <c r="H193" i="41"/>
  <c r="I193" i="41"/>
  <c r="D194" i="41"/>
  <c r="E194" i="41"/>
  <c r="F194" i="41"/>
  <c r="G194" i="41"/>
  <c r="H194" i="41"/>
  <c r="I194" i="41"/>
  <c r="J194" i="41"/>
  <c r="K194" i="41"/>
  <c r="D195" i="41"/>
  <c r="E195" i="41"/>
  <c r="F195" i="41"/>
  <c r="G195" i="41"/>
  <c r="H195" i="41"/>
  <c r="I195" i="41"/>
  <c r="J195" i="41"/>
  <c r="K195" i="41"/>
  <c r="D196" i="41"/>
  <c r="E196" i="41"/>
  <c r="F196" i="41"/>
  <c r="G196" i="41"/>
  <c r="H196" i="41"/>
  <c r="I196" i="41"/>
  <c r="J196" i="41"/>
  <c r="K196" i="41"/>
  <c r="D197" i="41"/>
  <c r="E197" i="41"/>
  <c r="F197" i="41"/>
  <c r="G197" i="41"/>
  <c r="H197" i="41"/>
  <c r="I197" i="41"/>
  <c r="J197" i="41"/>
  <c r="K197" i="41"/>
  <c r="D198" i="41"/>
  <c r="E198" i="41"/>
  <c r="F198" i="41"/>
  <c r="G198" i="41"/>
  <c r="H198" i="41"/>
  <c r="I198" i="41"/>
  <c r="J198" i="41"/>
  <c r="K198" i="41"/>
  <c r="D199" i="41"/>
  <c r="E199" i="41"/>
  <c r="F199" i="41"/>
  <c r="G199" i="41"/>
  <c r="H199" i="41"/>
  <c r="I199" i="41"/>
  <c r="J199" i="41"/>
  <c r="K199" i="41"/>
  <c r="D200" i="41"/>
  <c r="E200" i="41"/>
  <c r="F200" i="41"/>
  <c r="G200" i="41"/>
  <c r="H200" i="41"/>
  <c r="I200" i="41"/>
  <c r="J200" i="41"/>
  <c r="K200" i="41"/>
  <c r="D201" i="41"/>
  <c r="E201" i="41"/>
  <c r="F201" i="41"/>
  <c r="G201" i="41"/>
  <c r="H201" i="41"/>
  <c r="I201" i="41"/>
  <c r="J201" i="41"/>
  <c r="K201" i="41"/>
  <c r="D202" i="41"/>
  <c r="E202" i="41"/>
  <c r="F202" i="41"/>
  <c r="G202" i="41"/>
  <c r="H202" i="41"/>
  <c r="I202" i="41"/>
  <c r="J202" i="41"/>
  <c r="K202" i="41"/>
  <c r="D203" i="41"/>
  <c r="E203" i="41"/>
  <c r="F203" i="41"/>
  <c r="G203" i="41"/>
  <c r="H203" i="41"/>
  <c r="I203" i="41"/>
  <c r="J203" i="41"/>
  <c r="K203" i="41"/>
  <c r="D204" i="41"/>
  <c r="E204" i="41"/>
  <c r="F204" i="41"/>
  <c r="G204" i="41"/>
  <c r="H204" i="41"/>
  <c r="I204" i="41"/>
  <c r="J204" i="41"/>
  <c r="K204" i="41"/>
  <c r="D205" i="41"/>
  <c r="E205" i="41"/>
  <c r="F205" i="41"/>
  <c r="G205" i="41"/>
  <c r="H205" i="41"/>
  <c r="I205" i="41"/>
  <c r="J205" i="41"/>
  <c r="K205" i="41"/>
  <c r="D206" i="41"/>
  <c r="E206" i="41"/>
  <c r="F206" i="41"/>
  <c r="G206" i="41"/>
  <c r="H206" i="41"/>
  <c r="I206" i="41"/>
  <c r="J206" i="41"/>
  <c r="K206" i="41"/>
  <c r="D207" i="41"/>
  <c r="E207" i="41"/>
  <c r="F207" i="41"/>
  <c r="G207" i="41"/>
  <c r="H207" i="41"/>
  <c r="I207" i="41"/>
  <c r="J207" i="41"/>
  <c r="K207" i="41"/>
  <c r="D208" i="41"/>
  <c r="E208" i="41"/>
  <c r="F208" i="41"/>
  <c r="G208" i="41"/>
  <c r="H208" i="41"/>
  <c r="I208" i="41"/>
  <c r="J208" i="41"/>
  <c r="K208" i="41"/>
  <c r="D209" i="41"/>
  <c r="E209" i="41"/>
  <c r="F209" i="41"/>
  <c r="G209" i="41"/>
  <c r="H209" i="41"/>
  <c r="I209" i="41"/>
  <c r="J209" i="41"/>
  <c r="K209" i="41"/>
  <c r="D210" i="41"/>
  <c r="E210" i="41"/>
  <c r="F210" i="41"/>
  <c r="G210" i="41"/>
  <c r="H210" i="41"/>
  <c r="I210" i="41"/>
  <c r="J210" i="41"/>
  <c r="K210" i="41"/>
  <c r="D211" i="41"/>
  <c r="E211" i="41"/>
  <c r="F211" i="41"/>
  <c r="G211" i="41"/>
  <c r="H211" i="41"/>
  <c r="I211" i="41"/>
  <c r="J211" i="41"/>
  <c r="K211" i="41"/>
  <c r="D212" i="41"/>
  <c r="E212" i="41"/>
  <c r="F212" i="41"/>
  <c r="G212" i="41"/>
  <c r="H212" i="41"/>
  <c r="I212" i="41"/>
  <c r="J212" i="41"/>
  <c r="K212" i="41"/>
  <c r="D213" i="41"/>
  <c r="E213" i="41"/>
  <c r="F213" i="41"/>
  <c r="G213" i="41"/>
  <c r="H213" i="41"/>
  <c r="I213" i="41"/>
  <c r="D214" i="41"/>
  <c r="E214" i="41"/>
  <c r="F214" i="41"/>
  <c r="G214" i="41"/>
  <c r="H214" i="41"/>
  <c r="I214" i="41"/>
  <c r="J214" i="41"/>
  <c r="K214" i="41"/>
  <c r="D215" i="41"/>
  <c r="E215" i="41"/>
  <c r="F215" i="41"/>
  <c r="G215" i="41"/>
  <c r="H215" i="41"/>
  <c r="I215" i="41"/>
  <c r="J215" i="41"/>
  <c r="K215" i="41"/>
  <c r="D216" i="41"/>
  <c r="E216" i="41"/>
  <c r="F216" i="41"/>
  <c r="G216" i="41"/>
  <c r="H216" i="41"/>
  <c r="I216" i="41"/>
  <c r="J216" i="41"/>
  <c r="K216" i="41"/>
  <c r="D217" i="41"/>
  <c r="E217" i="41"/>
  <c r="F217" i="41"/>
  <c r="G217" i="41"/>
  <c r="H217" i="41"/>
  <c r="I217" i="41"/>
  <c r="J217" i="41"/>
  <c r="K217" i="41"/>
  <c r="D218" i="41"/>
  <c r="E218" i="41"/>
  <c r="F218" i="41"/>
  <c r="G218" i="41"/>
  <c r="H218" i="41"/>
  <c r="I218" i="41"/>
  <c r="J218" i="41"/>
  <c r="K218" i="41"/>
  <c r="D219" i="41"/>
  <c r="E219" i="41"/>
  <c r="F219" i="41"/>
  <c r="G219" i="41"/>
  <c r="H219" i="41"/>
  <c r="I219" i="41"/>
  <c r="J219" i="41"/>
  <c r="K219" i="41"/>
  <c r="D220" i="41"/>
  <c r="E220" i="41"/>
  <c r="F220" i="41"/>
  <c r="G220" i="41"/>
  <c r="H220" i="41"/>
  <c r="I220" i="41"/>
  <c r="J220" i="41"/>
  <c r="K220" i="41"/>
  <c r="D221" i="41"/>
  <c r="E221" i="41"/>
  <c r="F221" i="41"/>
  <c r="G221" i="41"/>
  <c r="H221" i="41"/>
  <c r="I221" i="41"/>
  <c r="J221" i="41"/>
  <c r="K221" i="41"/>
  <c r="D222" i="41"/>
  <c r="E222" i="41"/>
  <c r="F222" i="41"/>
  <c r="G222" i="41"/>
  <c r="H222" i="41"/>
  <c r="I222" i="41"/>
  <c r="J222" i="41"/>
  <c r="K222" i="41"/>
  <c r="D223" i="41"/>
  <c r="E223" i="41"/>
  <c r="F223" i="41"/>
  <c r="G223" i="41"/>
  <c r="H223" i="41"/>
  <c r="I223" i="41"/>
  <c r="D224" i="41"/>
  <c r="E224" i="41"/>
  <c r="F224" i="41"/>
  <c r="G224" i="41"/>
  <c r="H224" i="41"/>
  <c r="I224" i="41"/>
  <c r="J224" i="41"/>
  <c r="K224" i="41"/>
  <c r="D225" i="41"/>
  <c r="E225" i="41"/>
  <c r="F225" i="41"/>
  <c r="G225" i="41"/>
  <c r="H225" i="41"/>
  <c r="I225" i="41"/>
  <c r="J225" i="41"/>
  <c r="K225" i="41"/>
  <c r="D226" i="41"/>
  <c r="E226" i="41"/>
  <c r="F226" i="41"/>
  <c r="G226" i="41"/>
  <c r="H226" i="41"/>
  <c r="I226" i="41"/>
  <c r="J226" i="41"/>
  <c r="K226" i="41"/>
  <c r="D227" i="41"/>
  <c r="E227" i="41"/>
  <c r="F227" i="41"/>
  <c r="G227" i="41"/>
  <c r="H227" i="41"/>
  <c r="I227" i="41"/>
  <c r="J227" i="41"/>
  <c r="K227" i="41"/>
  <c r="D228" i="41"/>
  <c r="E228" i="41"/>
  <c r="F228" i="41"/>
  <c r="G228" i="41"/>
  <c r="H228" i="41"/>
  <c r="I228" i="41"/>
  <c r="J228" i="41"/>
  <c r="K228" i="41"/>
  <c r="C227" i="41"/>
  <c r="C222" i="41"/>
  <c r="C217" i="41"/>
  <c r="C208" i="41"/>
  <c r="C207" i="41"/>
  <c r="C206" i="41"/>
  <c r="C205" i="41"/>
  <c r="C204" i="41"/>
  <c r="C203" i="41"/>
  <c r="C198" i="41"/>
  <c r="C179" i="41"/>
  <c r="C167" i="41"/>
  <c r="C166" i="41"/>
  <c r="I229" i="41"/>
  <c r="H229" i="41"/>
  <c r="G229" i="41"/>
  <c r="F229" i="41"/>
  <c r="E229" i="41"/>
  <c r="D229" i="41"/>
  <c r="C165" i="41"/>
  <c r="T69" i="41"/>
  <c r="T68" i="41"/>
  <c r="T67" i="41"/>
  <c r="T66" i="41"/>
  <c r="T65" i="41"/>
  <c r="T63" i="41"/>
  <c r="T62" i="41"/>
  <c r="T61" i="41"/>
  <c r="T60" i="41"/>
  <c r="T59" i="41"/>
  <c r="T58" i="41"/>
  <c r="T57" i="41"/>
  <c r="T56" i="41"/>
  <c r="T55" i="41"/>
  <c r="T53" i="41"/>
  <c r="T52" i="41"/>
  <c r="T51" i="41"/>
  <c r="T50" i="41"/>
  <c r="T49" i="41"/>
  <c r="T48" i="41"/>
  <c r="T47" i="41"/>
  <c r="T46" i="41"/>
  <c r="T45" i="41"/>
  <c r="T44" i="41"/>
  <c r="T43" i="41"/>
  <c r="T42" i="41"/>
  <c r="T41" i="41"/>
  <c r="T40" i="41"/>
  <c r="T39" i="41"/>
  <c r="T38" i="41"/>
  <c r="T37" i="41"/>
  <c r="T36" i="41"/>
  <c r="T35" i="41"/>
  <c r="T33" i="41"/>
  <c r="T32" i="41"/>
  <c r="T31" i="41"/>
  <c r="T30" i="41"/>
  <c r="T29" i="41"/>
  <c r="T28" i="41"/>
  <c r="T27" i="41"/>
  <c r="T26" i="41"/>
  <c r="T25" i="41"/>
  <c r="T23" i="41"/>
  <c r="T22" i="41"/>
  <c r="T21" i="41"/>
  <c r="T20" i="41"/>
  <c r="T19" i="41"/>
  <c r="T18" i="41"/>
  <c r="T17" i="41"/>
  <c r="T16" i="41"/>
  <c r="T15" i="41"/>
  <c r="T13" i="41"/>
  <c r="T12" i="41"/>
  <c r="T11" i="41"/>
  <c r="T10" i="41"/>
  <c r="T9" i="41"/>
  <c r="T8" i="41"/>
  <c r="O330" i="40"/>
  <c r="O326" i="40"/>
  <c r="O324" i="40"/>
  <c r="O322" i="40"/>
  <c r="O320" i="40"/>
  <c r="O316" i="40"/>
  <c r="O314" i="40"/>
  <c r="O312" i="40"/>
  <c r="O310" i="40"/>
  <c r="O306" i="40"/>
  <c r="O304" i="40"/>
  <c r="O302" i="40"/>
  <c r="O300" i="40"/>
  <c r="O297" i="40"/>
  <c r="O295" i="40"/>
  <c r="O292" i="40"/>
  <c r="O290" i="40"/>
  <c r="O276" i="40"/>
  <c r="O274" i="40"/>
  <c r="O272" i="40"/>
  <c r="O270" i="40"/>
  <c r="O266" i="40"/>
  <c r="O264" i="40"/>
  <c r="O262" i="40"/>
  <c r="O257" i="40"/>
  <c r="O255" i="40"/>
  <c r="O253" i="40"/>
  <c r="O249" i="40"/>
  <c r="O246" i="40"/>
  <c r="O244" i="40"/>
  <c r="O242" i="40"/>
  <c r="O240" i="40"/>
  <c r="O233" i="40"/>
  <c r="O231" i="40"/>
  <c r="O229" i="40"/>
  <c r="O227" i="40"/>
  <c r="O225" i="40"/>
  <c r="O223" i="40"/>
  <c r="O220" i="40"/>
  <c r="O216" i="40"/>
  <c r="O214" i="40"/>
  <c r="O212" i="40"/>
  <c r="O210" i="40"/>
  <c r="O207" i="40"/>
  <c r="O205" i="40"/>
  <c r="O203" i="40"/>
  <c r="O200" i="40"/>
  <c r="O195" i="40"/>
  <c r="O193" i="40"/>
  <c r="O191" i="40"/>
  <c r="L264" i="40"/>
  <c r="C196" i="41" s="1"/>
  <c r="L262" i="40"/>
  <c r="C195" i="41" s="1"/>
  <c r="L330" i="40"/>
  <c r="L326" i="40"/>
  <c r="C226" i="41" s="1"/>
  <c r="L324" i="40"/>
  <c r="C225" i="41" s="1"/>
  <c r="L322" i="40"/>
  <c r="C224" i="41" s="1"/>
  <c r="L320" i="40"/>
  <c r="K223" i="41" s="1"/>
  <c r="L316" i="40"/>
  <c r="C221" i="41" s="1"/>
  <c r="L314" i="40"/>
  <c r="C220" i="41" s="1"/>
  <c r="L312" i="40"/>
  <c r="C219" i="41" s="1"/>
  <c r="L310" i="40"/>
  <c r="C218" i="41" s="1"/>
  <c r="L306" i="40"/>
  <c r="C216" i="41" s="1"/>
  <c r="L304" i="40"/>
  <c r="C215" i="41" s="1"/>
  <c r="L302" i="40"/>
  <c r="C214" i="41" s="1"/>
  <c r="L300" i="40"/>
  <c r="K213" i="41" s="1"/>
  <c r="L297" i="40"/>
  <c r="C212" i="41" s="1"/>
  <c r="L295" i="40"/>
  <c r="C211" i="41" s="1"/>
  <c r="L292" i="40"/>
  <c r="C210" i="41" s="1"/>
  <c r="L290" i="40"/>
  <c r="C209" i="41" s="1"/>
  <c r="L276" i="40"/>
  <c r="C202" i="41" s="1"/>
  <c r="L274" i="40"/>
  <c r="C201" i="41" s="1"/>
  <c r="L272" i="40"/>
  <c r="C200" i="41" s="1"/>
  <c r="L270" i="40"/>
  <c r="C199" i="41" s="1"/>
  <c r="L266" i="40"/>
  <c r="C197" i="41" s="1"/>
  <c r="L257" i="40"/>
  <c r="C194" i="41" s="1"/>
  <c r="L255" i="40"/>
  <c r="K193" i="41" s="1"/>
  <c r="L253" i="40"/>
  <c r="C192" i="41" s="1"/>
  <c r="L249" i="40"/>
  <c r="C191" i="41" s="1"/>
  <c r="L246" i="40"/>
  <c r="C190" i="41" s="1"/>
  <c r="L244" i="40"/>
  <c r="C189" i="41" s="1"/>
  <c r="L242" i="40"/>
  <c r="C188" i="41" s="1"/>
  <c r="L240" i="40"/>
  <c r="C187" i="41" s="1"/>
  <c r="L233" i="40"/>
  <c r="C186" i="41" s="1"/>
  <c r="L231" i="40"/>
  <c r="C185" i="41" s="1"/>
  <c r="L229" i="40"/>
  <c r="C184" i="41" s="1"/>
  <c r="L227" i="40"/>
  <c r="K183" i="41" s="1"/>
  <c r="L225" i="40"/>
  <c r="C182" i="41" s="1"/>
  <c r="L223" i="40"/>
  <c r="C181" i="41" s="1"/>
  <c r="L220" i="40"/>
  <c r="C180" i="41" s="1"/>
  <c r="L216" i="40"/>
  <c r="C178" i="41" s="1"/>
  <c r="L214" i="40"/>
  <c r="C177" i="41" s="1"/>
  <c r="L212" i="40"/>
  <c r="C176" i="41" s="1"/>
  <c r="L210" i="40"/>
  <c r="C175" i="41" s="1"/>
  <c r="L207" i="40"/>
  <c r="C174" i="41" s="1"/>
  <c r="L205" i="40"/>
  <c r="K173" i="41" s="1"/>
  <c r="L203" i="40"/>
  <c r="C172" i="41" s="1"/>
  <c r="L200" i="40"/>
  <c r="C171" i="41" s="1"/>
  <c r="L195" i="40"/>
  <c r="C170" i="41" s="1"/>
  <c r="L193" i="40"/>
  <c r="C169" i="41" s="1"/>
  <c r="L191" i="40"/>
  <c r="C168" i="41" s="1"/>
  <c r="T7" i="41"/>
  <c r="G360" i="40"/>
  <c r="G371" i="40"/>
  <c r="B380" i="40"/>
  <c r="B381" i="40"/>
  <c r="B382" i="40"/>
  <c r="B383" i="40"/>
  <c r="B384" i="40"/>
  <c r="B385" i="40"/>
  <c r="B386" i="40"/>
  <c r="B388" i="40"/>
  <c r="L332" i="40" l="1"/>
  <c r="C228" i="41"/>
  <c r="C173" i="41"/>
  <c r="C183" i="41"/>
  <c r="C193" i="41"/>
  <c r="C223" i="41"/>
  <c r="C213" i="41"/>
  <c r="K229" i="41"/>
  <c r="T14" i="41"/>
  <c r="J223" i="41"/>
  <c r="J193" i="41"/>
  <c r="J173" i="41"/>
  <c r="J213" i="41"/>
  <c r="J183" i="41"/>
  <c r="T24" i="41"/>
  <c r="T34" i="41"/>
  <c r="T54" i="41"/>
  <c r="T64" i="41"/>
  <c r="J98" i="56"/>
  <c r="J96" i="56"/>
  <c r="J95" i="56"/>
  <c r="J94" i="56"/>
  <c r="G44" i="56"/>
  <c r="G43" i="56"/>
  <c r="K39" i="56"/>
  <c r="K63" i="56" s="1"/>
  <c r="I39" i="56"/>
  <c r="G39" i="56"/>
  <c r="H49" i="56" s="1"/>
  <c r="G71" i="56" s="1"/>
  <c r="P27" i="56"/>
  <c r="P26" i="56"/>
  <c r="P25" i="56"/>
  <c r="P24" i="56"/>
  <c r="P23" i="56"/>
  <c r="P22" i="56"/>
  <c r="P21" i="56"/>
  <c r="P20" i="56"/>
  <c r="P19" i="56"/>
  <c r="P18" i="56"/>
  <c r="P17" i="56"/>
  <c r="P16" i="56"/>
  <c r="P15" i="56"/>
  <c r="P14" i="56"/>
  <c r="P13" i="56"/>
  <c r="P12" i="56"/>
  <c r="P11" i="56"/>
  <c r="P10" i="56"/>
  <c r="P9" i="56"/>
  <c r="P8" i="56"/>
  <c r="M27" i="56"/>
  <c r="M26" i="56"/>
  <c r="M25" i="56"/>
  <c r="M24" i="56"/>
  <c r="M23" i="56"/>
  <c r="M22" i="56"/>
  <c r="M21" i="56"/>
  <c r="M20" i="56"/>
  <c r="M19" i="56"/>
  <c r="M18" i="56"/>
  <c r="M17" i="56"/>
  <c r="M16" i="56"/>
  <c r="M15" i="56"/>
  <c r="M14" i="56"/>
  <c r="M13" i="56"/>
  <c r="M12" i="56"/>
  <c r="M11" i="56"/>
  <c r="M10" i="56"/>
  <c r="M9" i="56"/>
  <c r="M8" i="56"/>
  <c r="P273" i="56"/>
  <c r="O273" i="56"/>
  <c r="L273" i="56"/>
  <c r="K273" i="56"/>
  <c r="J273" i="56"/>
  <c r="I273" i="56"/>
  <c r="P272" i="56"/>
  <c r="O272" i="56"/>
  <c r="L272" i="56"/>
  <c r="K272" i="56"/>
  <c r="J272" i="56"/>
  <c r="I272" i="56"/>
  <c r="P271" i="56"/>
  <c r="O271" i="56"/>
  <c r="L271" i="56"/>
  <c r="K271" i="56"/>
  <c r="J271" i="56"/>
  <c r="I271" i="56"/>
  <c r="P270" i="56"/>
  <c r="O270" i="56"/>
  <c r="L270" i="56"/>
  <c r="K270" i="56"/>
  <c r="J270" i="56"/>
  <c r="I270" i="56"/>
  <c r="P269" i="56"/>
  <c r="O269" i="56"/>
  <c r="L269" i="56"/>
  <c r="K269" i="56"/>
  <c r="J269" i="56"/>
  <c r="I269" i="56"/>
  <c r="P268" i="56"/>
  <c r="O268" i="56"/>
  <c r="L268" i="56"/>
  <c r="K268" i="56"/>
  <c r="J268" i="56"/>
  <c r="I268" i="56"/>
  <c r="P267" i="56"/>
  <c r="O267" i="56"/>
  <c r="L267" i="56"/>
  <c r="K267" i="56"/>
  <c r="J267" i="56"/>
  <c r="I267" i="56"/>
  <c r="P266" i="56"/>
  <c r="O266" i="56"/>
  <c r="L266" i="56"/>
  <c r="K266" i="56"/>
  <c r="J266" i="56"/>
  <c r="I266" i="56"/>
  <c r="B114" i="56"/>
  <c r="B113" i="56"/>
  <c r="B112" i="56"/>
  <c r="B111" i="56"/>
  <c r="B110" i="56"/>
  <c r="B109" i="56"/>
  <c r="B108" i="56"/>
  <c r="M108" i="56" s="1"/>
  <c r="B107" i="56"/>
  <c r="B106" i="56"/>
  <c r="K62" i="56"/>
  <c r="K60" i="56"/>
  <c r="L57" i="56" a="1"/>
  <c r="L57" i="56" s="1"/>
  <c r="L54" i="56"/>
  <c r="L52" i="56"/>
  <c r="L49" i="56"/>
  <c r="K71" i="56" s="1"/>
  <c r="G89" i="56"/>
  <c r="J27" i="56"/>
  <c r="G27" i="56"/>
  <c r="J26" i="56"/>
  <c r="G26" i="56"/>
  <c r="J25" i="56"/>
  <c r="G25" i="56"/>
  <c r="J24" i="56"/>
  <c r="G24" i="56"/>
  <c r="J23" i="56"/>
  <c r="G23" i="56"/>
  <c r="J22" i="56"/>
  <c r="G22" i="56"/>
  <c r="J21" i="56"/>
  <c r="G21" i="56"/>
  <c r="J20" i="56"/>
  <c r="G20" i="56"/>
  <c r="J19" i="56"/>
  <c r="G19" i="56"/>
  <c r="J18" i="56"/>
  <c r="G18" i="56"/>
  <c r="J17" i="56"/>
  <c r="G17" i="56"/>
  <c r="J16" i="56"/>
  <c r="G16" i="56"/>
  <c r="J15" i="56"/>
  <c r="G15" i="56"/>
  <c r="J14" i="56"/>
  <c r="G14" i="56"/>
  <c r="J13" i="56"/>
  <c r="G13" i="56"/>
  <c r="J12" i="56"/>
  <c r="G12" i="56"/>
  <c r="J11" i="56"/>
  <c r="G11" i="56"/>
  <c r="J10" i="56"/>
  <c r="G10" i="56"/>
  <c r="J9" i="56"/>
  <c r="G9" i="56"/>
  <c r="J8" i="56"/>
  <c r="G8" i="56"/>
  <c r="J93" i="56"/>
  <c r="J98" i="54"/>
  <c r="J96" i="54"/>
  <c r="J95" i="54"/>
  <c r="J94" i="54"/>
  <c r="G44" i="54"/>
  <c r="G43" i="54"/>
  <c r="K39" i="54"/>
  <c r="L62" i="54" s="1"/>
  <c r="I39" i="54"/>
  <c r="J62" i="54" s="1"/>
  <c r="G39" i="54"/>
  <c r="J100" i="56" l="1"/>
  <c r="N21" i="60"/>
  <c r="J101" i="56"/>
  <c r="V110" i="15"/>
  <c r="K55" i="54"/>
  <c r="I55" i="54"/>
  <c r="K54" i="54"/>
  <c r="I54" i="54"/>
  <c r="K63" i="54"/>
  <c r="I63" i="54"/>
  <c r="K62" i="54"/>
  <c r="I62" i="54"/>
  <c r="L55" i="54"/>
  <c r="J55" i="54"/>
  <c r="L54" i="54"/>
  <c r="J54" i="54"/>
  <c r="L63" i="54"/>
  <c r="J63" i="54"/>
  <c r="C229" i="41"/>
  <c r="D108" i="56"/>
  <c r="H108" i="56"/>
  <c r="F108" i="56"/>
  <c r="F268" i="56" s="1"/>
  <c r="D107" i="56"/>
  <c r="C107" i="56"/>
  <c r="N107" i="56"/>
  <c r="C108" i="56"/>
  <c r="E108" i="56"/>
  <c r="G108" i="56"/>
  <c r="T71" i="41"/>
  <c r="J229" i="41"/>
  <c r="S116" i="15"/>
  <c r="T116" i="15" s="1"/>
  <c r="L63" i="56"/>
  <c r="L51" i="56"/>
  <c r="L53" i="56"/>
  <c r="L55" i="56"/>
  <c r="K59" i="56"/>
  <c r="K61" i="56"/>
  <c r="G78" i="56"/>
  <c r="H78" i="56"/>
  <c r="K78" i="56"/>
  <c r="L78" i="56"/>
  <c r="K80" i="56"/>
  <c r="L82" i="56" s="1"/>
  <c r="L89" i="56" s="1"/>
  <c r="L80" i="56"/>
  <c r="L86" i="56" s="1"/>
  <c r="J51" i="56"/>
  <c r="J68" i="56" s="1"/>
  <c r="J77" i="56" s="1"/>
  <c r="J52" i="56"/>
  <c r="J53" i="56"/>
  <c r="J54" i="56"/>
  <c r="J55" i="56"/>
  <c r="I59" i="56"/>
  <c r="I69" i="56" s="1"/>
  <c r="I60" i="56"/>
  <c r="I62" i="56"/>
  <c r="I63" i="56"/>
  <c r="J49" i="56"/>
  <c r="I71" i="56" s="1"/>
  <c r="G51" i="56"/>
  <c r="H51" i="56" s="1"/>
  <c r="I51" i="56"/>
  <c r="K51" i="56"/>
  <c r="K68" i="56" s="1"/>
  <c r="K77" i="56" s="1"/>
  <c r="G52" i="56"/>
  <c r="H52" i="56" s="1"/>
  <c r="I52" i="56"/>
  <c r="K52" i="56"/>
  <c r="G53" i="56"/>
  <c r="H53" i="56" s="1"/>
  <c r="I53" i="56"/>
  <c r="K53" i="56"/>
  <c r="G54" i="56"/>
  <c r="H54" i="56" s="1"/>
  <c r="I54" i="56"/>
  <c r="K54" i="56"/>
  <c r="G55" i="56"/>
  <c r="H55" i="56" s="1"/>
  <c r="I55" i="56"/>
  <c r="K55" i="56"/>
  <c r="H57" i="56" a="1"/>
  <c r="H57" i="56" s="1"/>
  <c r="J57" i="56"/>
  <c r="J59" i="56"/>
  <c r="J69" i="56" s="1"/>
  <c r="L59" i="56"/>
  <c r="L69" i="56" s="1"/>
  <c r="J60" i="56"/>
  <c r="L60" i="56"/>
  <c r="J61" i="56"/>
  <c r="L61" i="56"/>
  <c r="J62" i="56"/>
  <c r="L62" i="56"/>
  <c r="J63" i="56"/>
  <c r="L68" i="56"/>
  <c r="L77" i="56" s="1"/>
  <c r="H71" i="56"/>
  <c r="J71" i="56"/>
  <c r="L71" i="56"/>
  <c r="M268" i="56"/>
  <c r="I61" i="56"/>
  <c r="I68" i="56"/>
  <c r="I77" i="56" s="1"/>
  <c r="K69" i="56"/>
  <c r="P273" i="54"/>
  <c r="O273" i="54"/>
  <c r="L273" i="54"/>
  <c r="K273" i="54"/>
  <c r="J273" i="54"/>
  <c r="I273" i="54"/>
  <c r="P272" i="54"/>
  <c r="O272" i="54"/>
  <c r="L272" i="54"/>
  <c r="K272" i="54"/>
  <c r="J272" i="54"/>
  <c r="I272" i="54"/>
  <c r="P271" i="54"/>
  <c r="O271" i="54"/>
  <c r="L271" i="54"/>
  <c r="K271" i="54"/>
  <c r="J271" i="54"/>
  <c r="I271" i="54"/>
  <c r="P270" i="54"/>
  <c r="O270" i="54"/>
  <c r="L270" i="54"/>
  <c r="K270" i="54"/>
  <c r="J270" i="54"/>
  <c r="I270" i="54"/>
  <c r="P269" i="54"/>
  <c r="O269" i="54"/>
  <c r="L269" i="54"/>
  <c r="K269" i="54"/>
  <c r="J269" i="54"/>
  <c r="I269" i="54"/>
  <c r="P268" i="54"/>
  <c r="O268" i="54"/>
  <c r="L268" i="54"/>
  <c r="K268" i="54"/>
  <c r="J268" i="54"/>
  <c r="I268" i="54"/>
  <c r="P267" i="54"/>
  <c r="O267" i="54"/>
  <c r="L267" i="54"/>
  <c r="K267" i="54"/>
  <c r="J267" i="54"/>
  <c r="I267" i="54"/>
  <c r="P266" i="54"/>
  <c r="O266" i="54"/>
  <c r="L266" i="54"/>
  <c r="K266" i="54"/>
  <c r="J266" i="54"/>
  <c r="I266" i="54"/>
  <c r="B114" i="54"/>
  <c r="B113" i="54"/>
  <c r="B112" i="54"/>
  <c r="B111" i="54"/>
  <c r="B110" i="54"/>
  <c r="B109" i="54"/>
  <c r="B108" i="54"/>
  <c r="B107" i="54"/>
  <c r="B106" i="54"/>
  <c r="G89" i="54"/>
  <c r="J27" i="54"/>
  <c r="G27" i="54"/>
  <c r="J26" i="54"/>
  <c r="G26" i="54"/>
  <c r="J25" i="54"/>
  <c r="G25" i="54"/>
  <c r="J24" i="54"/>
  <c r="G24" i="54"/>
  <c r="J23" i="54"/>
  <c r="G23" i="54"/>
  <c r="J22" i="54"/>
  <c r="G22" i="54"/>
  <c r="J21" i="54"/>
  <c r="G21" i="54"/>
  <c r="J20" i="54"/>
  <c r="G20" i="54"/>
  <c r="J19" i="54"/>
  <c r="G19" i="54"/>
  <c r="J18" i="54"/>
  <c r="G18" i="54"/>
  <c r="J17" i="54"/>
  <c r="G17" i="54"/>
  <c r="J16" i="54"/>
  <c r="G16" i="54"/>
  <c r="J15" i="54"/>
  <c r="G15" i="54"/>
  <c r="J14" i="54"/>
  <c r="G14" i="54"/>
  <c r="J13" i="54"/>
  <c r="G13" i="54"/>
  <c r="J12" i="54"/>
  <c r="G12" i="54"/>
  <c r="J11" i="54"/>
  <c r="G11" i="54"/>
  <c r="J10" i="54"/>
  <c r="G10" i="54"/>
  <c r="J9" i="54"/>
  <c r="G9" i="54"/>
  <c r="J8" i="54"/>
  <c r="G8" i="54"/>
  <c r="J100" i="54"/>
  <c r="J99" i="54"/>
  <c r="J93" i="54"/>
  <c r="H115" i="7"/>
  <c r="G262" i="8"/>
  <c r="G214" i="8"/>
  <c r="G197" i="8"/>
  <c r="G142" i="8"/>
  <c r="G132" i="8"/>
  <c r="X104" i="8" s="1"/>
  <c r="G104" i="8"/>
  <c r="X76" i="8" s="1"/>
  <c r="G76" i="8"/>
  <c r="F20" i="52"/>
  <c r="J101" i="54" l="1"/>
  <c r="N20" i="60"/>
  <c r="H268" i="56"/>
  <c r="N267" i="56"/>
  <c r="E268" i="56"/>
  <c r="D267" i="56"/>
  <c r="G268" i="56"/>
  <c r="D268" i="56"/>
  <c r="F108" i="54"/>
  <c r="G108" i="54"/>
  <c r="E108" i="54"/>
  <c r="C108" i="54"/>
  <c r="H108" i="54"/>
  <c r="D108" i="54"/>
  <c r="N107" i="54"/>
  <c r="M107" i="54"/>
  <c r="C107" i="54"/>
  <c r="D107" i="54"/>
  <c r="H68" i="56"/>
  <c r="H77" i="56" s="1"/>
  <c r="L70" i="56"/>
  <c r="L79" i="56" s="1"/>
  <c r="I70" i="56"/>
  <c r="I79" i="56" s="1"/>
  <c r="G68" i="56"/>
  <c r="G77" i="56" s="1"/>
  <c r="I78" i="56"/>
  <c r="J78" i="56"/>
  <c r="G80" i="56"/>
  <c r="G63" i="56"/>
  <c r="H63" i="56" s="1"/>
  <c r="G60" i="56"/>
  <c r="H60" i="56" s="1"/>
  <c r="H80" i="56"/>
  <c r="G62" i="56"/>
  <c r="H62" i="56" s="1"/>
  <c r="G61" i="56"/>
  <c r="H61" i="56" s="1"/>
  <c r="G59" i="56"/>
  <c r="L84" i="56"/>
  <c r="L85" i="56"/>
  <c r="L83" i="56"/>
  <c r="C267" i="56"/>
  <c r="K70" i="56"/>
  <c r="K79" i="56" s="1"/>
  <c r="C268" i="56"/>
  <c r="J70" i="56"/>
  <c r="J79" i="56" s="1"/>
  <c r="I80" i="56"/>
  <c r="J82" i="56" s="1"/>
  <c r="J89" i="56" s="1"/>
  <c r="J80" i="56"/>
  <c r="J86" i="56" s="1"/>
  <c r="S114" i="15"/>
  <c r="T114" i="15" s="1"/>
  <c r="S115" i="15" s="1"/>
  <c r="J49" i="54"/>
  <c r="I71" i="54" s="1"/>
  <c r="I51" i="54"/>
  <c r="I68" i="54" s="1"/>
  <c r="I77" i="54" s="1"/>
  <c r="K51" i="54"/>
  <c r="K68" i="54" s="1"/>
  <c r="K77" i="54" s="1"/>
  <c r="I52" i="54"/>
  <c r="K52" i="54"/>
  <c r="I53" i="54"/>
  <c r="K53" i="54"/>
  <c r="H57" i="54" a="1"/>
  <c r="H57" i="54" s="1"/>
  <c r="J57" i="54"/>
  <c r="J59" i="54"/>
  <c r="L59" i="54"/>
  <c r="J60" i="54"/>
  <c r="L60" i="54"/>
  <c r="J61" i="54"/>
  <c r="L61" i="54"/>
  <c r="J69" i="54"/>
  <c r="L69" i="54"/>
  <c r="H71" i="54"/>
  <c r="J71" i="54"/>
  <c r="L71" i="54"/>
  <c r="H49" i="54"/>
  <c r="L49" i="54"/>
  <c r="K71" i="54" s="1"/>
  <c r="J51" i="54"/>
  <c r="J68" i="54" s="1"/>
  <c r="J77" i="54" s="1"/>
  <c r="L51" i="54"/>
  <c r="L68" i="54" s="1"/>
  <c r="L77" i="54" s="1"/>
  <c r="J52" i="54"/>
  <c r="L52" i="54"/>
  <c r="J53" i="54"/>
  <c r="L53" i="54"/>
  <c r="L57" i="54" a="1"/>
  <c r="L57" i="54" s="1"/>
  <c r="I59" i="54"/>
  <c r="I69" i="54" s="1"/>
  <c r="K59" i="54"/>
  <c r="K69" i="54" s="1"/>
  <c r="I60" i="54"/>
  <c r="K60" i="54"/>
  <c r="I61" i="54"/>
  <c r="K61" i="54"/>
  <c r="M267" i="54"/>
  <c r="E268" i="54"/>
  <c r="G268" i="54"/>
  <c r="D268" i="54"/>
  <c r="F268" i="54"/>
  <c r="H268" i="54"/>
  <c r="D158" i="41"/>
  <c r="E158" i="41"/>
  <c r="F158" i="41"/>
  <c r="G158" i="41"/>
  <c r="H158" i="41"/>
  <c r="I158" i="41"/>
  <c r="J158" i="41"/>
  <c r="K158" i="41"/>
  <c r="D159" i="41"/>
  <c r="E159" i="41"/>
  <c r="F159" i="41"/>
  <c r="G159" i="41"/>
  <c r="H159" i="41"/>
  <c r="I159" i="41"/>
  <c r="J159" i="41"/>
  <c r="K159" i="41"/>
  <c r="D160" i="41"/>
  <c r="E160" i="41"/>
  <c r="F160" i="41"/>
  <c r="G160" i="41"/>
  <c r="H160" i="41"/>
  <c r="I160" i="41"/>
  <c r="J160" i="41"/>
  <c r="K160" i="41"/>
  <c r="D161" i="41"/>
  <c r="E161" i="41"/>
  <c r="F161" i="41"/>
  <c r="G161" i="41"/>
  <c r="H161" i="41"/>
  <c r="I161" i="41"/>
  <c r="J161" i="41"/>
  <c r="K161" i="41"/>
  <c r="D162" i="41"/>
  <c r="E162" i="41"/>
  <c r="F162" i="41"/>
  <c r="G162" i="41"/>
  <c r="H162" i="41"/>
  <c r="I162" i="41"/>
  <c r="J162" i="41"/>
  <c r="K162" i="41"/>
  <c r="D163" i="41"/>
  <c r="E163" i="41"/>
  <c r="F163" i="41"/>
  <c r="G163" i="41"/>
  <c r="H163" i="41"/>
  <c r="I163" i="41"/>
  <c r="J163" i="41"/>
  <c r="K163" i="41"/>
  <c r="O176" i="40"/>
  <c r="L176" i="40"/>
  <c r="C161" i="41" s="1"/>
  <c r="O172" i="40"/>
  <c r="L172" i="40"/>
  <c r="O174" i="40"/>
  <c r="L174" i="40"/>
  <c r="C160" i="41" s="1"/>
  <c r="D149" i="41"/>
  <c r="E149" i="41"/>
  <c r="F149" i="41"/>
  <c r="G149" i="41"/>
  <c r="H149" i="41"/>
  <c r="I149" i="41"/>
  <c r="J149" i="41"/>
  <c r="D150" i="41"/>
  <c r="E150" i="41"/>
  <c r="F150" i="41"/>
  <c r="G150" i="41"/>
  <c r="H150" i="41"/>
  <c r="I150" i="41"/>
  <c r="J150" i="41"/>
  <c r="D151" i="41"/>
  <c r="E151" i="41"/>
  <c r="F151" i="41"/>
  <c r="G151" i="41"/>
  <c r="H151" i="41"/>
  <c r="I151" i="41"/>
  <c r="J151" i="41"/>
  <c r="D152" i="41"/>
  <c r="E152" i="41"/>
  <c r="F152" i="41"/>
  <c r="G152" i="41"/>
  <c r="H152" i="41"/>
  <c r="I152" i="41"/>
  <c r="J152" i="41"/>
  <c r="D153" i="41"/>
  <c r="E153" i="41"/>
  <c r="F153" i="41"/>
  <c r="G153" i="41"/>
  <c r="H153" i="41"/>
  <c r="I153" i="41"/>
  <c r="J153" i="41"/>
  <c r="D154" i="41"/>
  <c r="E154" i="41"/>
  <c r="F154" i="41"/>
  <c r="G154" i="41"/>
  <c r="H154" i="41"/>
  <c r="I154" i="41"/>
  <c r="J154" i="41"/>
  <c r="D155" i="41"/>
  <c r="E155" i="41"/>
  <c r="F155" i="41"/>
  <c r="G155" i="41"/>
  <c r="H155" i="41"/>
  <c r="I155" i="41"/>
  <c r="J155" i="41"/>
  <c r="O156" i="40"/>
  <c r="L156" i="40"/>
  <c r="N10" i="41" s="1"/>
  <c r="K153" i="41"/>
  <c r="O160" i="40"/>
  <c r="L160" i="40"/>
  <c r="N12" i="41" s="1"/>
  <c r="D143" i="41"/>
  <c r="E143" i="41"/>
  <c r="F143" i="41"/>
  <c r="G143" i="41"/>
  <c r="H143" i="41"/>
  <c r="I143" i="41"/>
  <c r="J143" i="41"/>
  <c r="K143" i="41"/>
  <c r="D144" i="41"/>
  <c r="E144" i="41"/>
  <c r="F144" i="41"/>
  <c r="G144" i="41"/>
  <c r="H144" i="41"/>
  <c r="I144" i="41"/>
  <c r="J144" i="41"/>
  <c r="K144" i="41"/>
  <c r="D145" i="41"/>
  <c r="E145" i="41"/>
  <c r="F145" i="41"/>
  <c r="G145" i="41"/>
  <c r="H145" i="41"/>
  <c r="I145" i="41"/>
  <c r="J145" i="41"/>
  <c r="K145" i="41"/>
  <c r="D146" i="41"/>
  <c r="E146" i="41"/>
  <c r="F146" i="41"/>
  <c r="G146" i="41"/>
  <c r="H146" i="41"/>
  <c r="I146" i="41"/>
  <c r="J146" i="41"/>
  <c r="K146" i="41"/>
  <c r="K8" i="41"/>
  <c r="K7" i="41"/>
  <c r="O137" i="40"/>
  <c r="C143" i="41"/>
  <c r="O139" i="40"/>
  <c r="L139" i="40"/>
  <c r="D135" i="41"/>
  <c r="E135" i="41"/>
  <c r="F135" i="41"/>
  <c r="G135" i="41"/>
  <c r="H135" i="41"/>
  <c r="I135" i="41"/>
  <c r="K135" i="41"/>
  <c r="D136" i="41"/>
  <c r="E136" i="41"/>
  <c r="F136" i="41"/>
  <c r="G136" i="41"/>
  <c r="H136" i="41"/>
  <c r="I136" i="41"/>
  <c r="J136" i="41"/>
  <c r="D137" i="41"/>
  <c r="E137" i="41"/>
  <c r="G137" i="41"/>
  <c r="H137" i="41"/>
  <c r="I137" i="41"/>
  <c r="J137" i="41"/>
  <c r="K137" i="41"/>
  <c r="D138" i="41"/>
  <c r="E138" i="41"/>
  <c r="F138" i="41"/>
  <c r="H138" i="41"/>
  <c r="I138" i="41"/>
  <c r="J138" i="41"/>
  <c r="K138" i="41"/>
  <c r="D139" i="41"/>
  <c r="E139" i="41"/>
  <c r="F139" i="41"/>
  <c r="G139" i="41"/>
  <c r="I139" i="41"/>
  <c r="J139" i="41"/>
  <c r="K139" i="41"/>
  <c r="D140" i="41"/>
  <c r="E140" i="41"/>
  <c r="F140" i="41"/>
  <c r="G140" i="41"/>
  <c r="H140" i="41"/>
  <c r="J140" i="41"/>
  <c r="K140" i="41"/>
  <c r="L125" i="40"/>
  <c r="F137" i="41" s="1"/>
  <c r="O123" i="40"/>
  <c r="L123" i="40"/>
  <c r="C136" i="41" s="1"/>
  <c r="O125" i="40"/>
  <c r="C137" i="41"/>
  <c r="O127" i="40"/>
  <c r="L127" i="40"/>
  <c r="C138" i="41" s="1"/>
  <c r="D131" i="41"/>
  <c r="E131" i="41"/>
  <c r="F131" i="41"/>
  <c r="H131" i="41"/>
  <c r="I131" i="41"/>
  <c r="J131" i="41"/>
  <c r="K131" i="41"/>
  <c r="K130" i="41"/>
  <c r="J130" i="41"/>
  <c r="I130" i="41"/>
  <c r="H130" i="41"/>
  <c r="G130" i="41"/>
  <c r="E130" i="41"/>
  <c r="D130" i="41"/>
  <c r="D111" i="41"/>
  <c r="E111" i="41"/>
  <c r="F111" i="41"/>
  <c r="G111" i="41"/>
  <c r="H111" i="41"/>
  <c r="I111" i="41"/>
  <c r="J111" i="41"/>
  <c r="K111" i="41"/>
  <c r="D112" i="41"/>
  <c r="E112" i="41"/>
  <c r="F112" i="41"/>
  <c r="G112" i="41"/>
  <c r="H112" i="41"/>
  <c r="I112" i="41"/>
  <c r="J112" i="41"/>
  <c r="K112" i="41"/>
  <c r="D113" i="41"/>
  <c r="E113" i="41"/>
  <c r="F113" i="41"/>
  <c r="G113" i="41"/>
  <c r="H113" i="41"/>
  <c r="I113" i="41"/>
  <c r="J113" i="41"/>
  <c r="K113" i="41"/>
  <c r="D114" i="41"/>
  <c r="E114" i="41"/>
  <c r="F114" i="41"/>
  <c r="G114" i="41"/>
  <c r="H114" i="41"/>
  <c r="I114" i="41"/>
  <c r="J114" i="41"/>
  <c r="K114" i="41"/>
  <c r="D115" i="41"/>
  <c r="E115" i="41"/>
  <c r="F115" i="41"/>
  <c r="G115" i="41"/>
  <c r="H115" i="41"/>
  <c r="I115" i="41"/>
  <c r="J115" i="41"/>
  <c r="K115" i="41"/>
  <c r="D116" i="41"/>
  <c r="E116" i="41"/>
  <c r="F116" i="41"/>
  <c r="G116" i="41"/>
  <c r="H116" i="41"/>
  <c r="I116" i="41"/>
  <c r="J116" i="41"/>
  <c r="K116" i="41"/>
  <c r="D117" i="41"/>
  <c r="E117" i="41"/>
  <c r="F117" i="41"/>
  <c r="G117" i="41"/>
  <c r="H117" i="41"/>
  <c r="I117" i="41"/>
  <c r="J117" i="41"/>
  <c r="K117" i="41"/>
  <c r="D118" i="41"/>
  <c r="E118" i="41"/>
  <c r="F118" i="41"/>
  <c r="G118" i="41"/>
  <c r="H118" i="41"/>
  <c r="I118" i="41"/>
  <c r="J118" i="41"/>
  <c r="K118" i="41"/>
  <c r="D119" i="41"/>
  <c r="E119" i="41"/>
  <c r="F119" i="41"/>
  <c r="G119" i="41"/>
  <c r="H119" i="41"/>
  <c r="I119" i="41"/>
  <c r="J119" i="41"/>
  <c r="K119" i="41"/>
  <c r="D120" i="41"/>
  <c r="E120" i="41"/>
  <c r="F120" i="41"/>
  <c r="G120" i="41"/>
  <c r="H120" i="41"/>
  <c r="I120" i="41"/>
  <c r="J120" i="41"/>
  <c r="K120" i="41"/>
  <c r="D121" i="41"/>
  <c r="E121" i="41"/>
  <c r="F121" i="41"/>
  <c r="G121" i="41"/>
  <c r="H121" i="41"/>
  <c r="I121" i="41"/>
  <c r="J121" i="41"/>
  <c r="K121" i="41"/>
  <c r="D122" i="41"/>
  <c r="E122" i="41"/>
  <c r="F122" i="41"/>
  <c r="G122" i="41"/>
  <c r="H122" i="41"/>
  <c r="I122" i="41"/>
  <c r="J122" i="41"/>
  <c r="K122" i="41"/>
  <c r="D123" i="41"/>
  <c r="E123" i="41"/>
  <c r="F123" i="41"/>
  <c r="G123" i="41"/>
  <c r="H123" i="41"/>
  <c r="I123" i="41"/>
  <c r="J123" i="41"/>
  <c r="K123" i="41"/>
  <c r="D124" i="41"/>
  <c r="E124" i="41"/>
  <c r="F124" i="41"/>
  <c r="G124" i="41"/>
  <c r="H124" i="41"/>
  <c r="I124" i="41"/>
  <c r="J124" i="41"/>
  <c r="K124" i="41"/>
  <c r="D125" i="41"/>
  <c r="E125" i="41"/>
  <c r="F125" i="41"/>
  <c r="G125" i="41"/>
  <c r="H125" i="41"/>
  <c r="I125" i="41"/>
  <c r="J125" i="41"/>
  <c r="K125" i="41"/>
  <c r="D126" i="41"/>
  <c r="E126" i="41"/>
  <c r="F126" i="41"/>
  <c r="G126" i="41"/>
  <c r="H126" i="41"/>
  <c r="I126" i="41"/>
  <c r="J126" i="41"/>
  <c r="K126" i="41"/>
  <c r="D127" i="41"/>
  <c r="E127" i="41"/>
  <c r="F127" i="41"/>
  <c r="G127" i="41"/>
  <c r="H127" i="41"/>
  <c r="I127" i="41"/>
  <c r="J127" i="41"/>
  <c r="K127" i="41"/>
  <c r="E128" i="41"/>
  <c r="F128" i="41"/>
  <c r="G128" i="41"/>
  <c r="H128" i="41"/>
  <c r="I128" i="41"/>
  <c r="J128" i="41"/>
  <c r="K128" i="41"/>
  <c r="D129" i="41"/>
  <c r="F129" i="41"/>
  <c r="G129" i="41"/>
  <c r="H129" i="41"/>
  <c r="I129" i="41"/>
  <c r="J129" i="41"/>
  <c r="K129" i="41"/>
  <c r="E22" i="41"/>
  <c r="O110" i="40"/>
  <c r="L110" i="40"/>
  <c r="E129" i="41" s="1"/>
  <c r="O112" i="40"/>
  <c r="L112" i="40"/>
  <c r="F130" i="41" s="1"/>
  <c r="D128" i="41"/>
  <c r="O106" i="40"/>
  <c r="L106" i="40"/>
  <c r="E23" i="41" s="1"/>
  <c r="O104" i="40"/>
  <c r="L104" i="40"/>
  <c r="C126" i="41" s="1"/>
  <c r="D77" i="41"/>
  <c r="E77" i="41"/>
  <c r="F77" i="41"/>
  <c r="G77" i="41"/>
  <c r="H77" i="41"/>
  <c r="I77" i="41"/>
  <c r="J77" i="41"/>
  <c r="K77" i="41"/>
  <c r="D78" i="41"/>
  <c r="E78" i="41"/>
  <c r="F78" i="41"/>
  <c r="G78" i="41"/>
  <c r="H78" i="41"/>
  <c r="I78" i="41"/>
  <c r="J78" i="41"/>
  <c r="K78" i="41"/>
  <c r="D79" i="41"/>
  <c r="E79" i="41"/>
  <c r="F79" i="41"/>
  <c r="G79" i="41"/>
  <c r="H79" i="41"/>
  <c r="I79" i="41"/>
  <c r="J79" i="41"/>
  <c r="K79" i="41"/>
  <c r="D80" i="41"/>
  <c r="E80" i="41"/>
  <c r="F80" i="41"/>
  <c r="G80" i="41"/>
  <c r="H80" i="41"/>
  <c r="I80" i="41"/>
  <c r="J80" i="41"/>
  <c r="K80" i="41"/>
  <c r="D81" i="41"/>
  <c r="E81" i="41"/>
  <c r="F81" i="41"/>
  <c r="G81" i="41"/>
  <c r="H81" i="41"/>
  <c r="I81" i="41"/>
  <c r="J81" i="41"/>
  <c r="K81" i="41"/>
  <c r="D82" i="41"/>
  <c r="E82" i="41"/>
  <c r="F82" i="41"/>
  <c r="G82" i="41"/>
  <c r="H82" i="41"/>
  <c r="I82" i="41"/>
  <c r="J82" i="41"/>
  <c r="K82" i="41"/>
  <c r="D83" i="41"/>
  <c r="E83" i="41"/>
  <c r="F83" i="41"/>
  <c r="G83" i="41"/>
  <c r="H83" i="41"/>
  <c r="I83" i="41"/>
  <c r="J83" i="41"/>
  <c r="K83" i="41"/>
  <c r="D84" i="41"/>
  <c r="E84" i="41"/>
  <c r="F84" i="41"/>
  <c r="G84" i="41"/>
  <c r="H84" i="41"/>
  <c r="I84" i="41"/>
  <c r="J84" i="41"/>
  <c r="K84" i="41"/>
  <c r="D85" i="41"/>
  <c r="E85" i="41"/>
  <c r="F85" i="41"/>
  <c r="G85" i="41"/>
  <c r="H85" i="41"/>
  <c r="I85" i="41"/>
  <c r="J85" i="41"/>
  <c r="K85" i="41"/>
  <c r="D86" i="41"/>
  <c r="E86" i="41"/>
  <c r="F86" i="41"/>
  <c r="G86" i="41"/>
  <c r="H86" i="41"/>
  <c r="I86" i="41"/>
  <c r="J86" i="41"/>
  <c r="K86" i="41"/>
  <c r="D87" i="41"/>
  <c r="E87" i="41"/>
  <c r="F87" i="41"/>
  <c r="G87" i="41"/>
  <c r="H87" i="41"/>
  <c r="I87" i="41"/>
  <c r="J87" i="41"/>
  <c r="K87" i="41"/>
  <c r="D88" i="41"/>
  <c r="E88" i="41"/>
  <c r="F88" i="41"/>
  <c r="G88" i="41"/>
  <c r="H88" i="41"/>
  <c r="I88" i="41"/>
  <c r="J88" i="41"/>
  <c r="K88" i="41"/>
  <c r="D89" i="41"/>
  <c r="E89" i="41"/>
  <c r="F89" i="41"/>
  <c r="G89" i="41"/>
  <c r="H89" i="41"/>
  <c r="I89" i="41"/>
  <c r="J89" i="41"/>
  <c r="K89" i="41"/>
  <c r="D90" i="41"/>
  <c r="E90" i="41"/>
  <c r="F90" i="41"/>
  <c r="G90" i="41"/>
  <c r="H90" i="41"/>
  <c r="I90" i="41"/>
  <c r="J90" i="41"/>
  <c r="K90" i="41"/>
  <c r="D91" i="41"/>
  <c r="E91" i="41"/>
  <c r="F91" i="41"/>
  <c r="G91" i="41"/>
  <c r="H91" i="41"/>
  <c r="I91" i="41"/>
  <c r="J91" i="41"/>
  <c r="K91" i="41"/>
  <c r="D92" i="41"/>
  <c r="E92" i="41"/>
  <c r="F92" i="41"/>
  <c r="G92" i="41"/>
  <c r="H92" i="41"/>
  <c r="I92" i="41"/>
  <c r="J92" i="41"/>
  <c r="K92" i="41"/>
  <c r="D93" i="41"/>
  <c r="E93" i="41"/>
  <c r="F93" i="41"/>
  <c r="G93" i="41"/>
  <c r="H93" i="41"/>
  <c r="I93" i="41"/>
  <c r="J93" i="41"/>
  <c r="K93" i="41"/>
  <c r="D94" i="41"/>
  <c r="E94" i="41"/>
  <c r="F94" i="41"/>
  <c r="G94" i="41"/>
  <c r="H94" i="41"/>
  <c r="I94" i="41"/>
  <c r="J94" i="41"/>
  <c r="K94" i="41"/>
  <c r="D95" i="41"/>
  <c r="E95" i="41"/>
  <c r="F95" i="41"/>
  <c r="G95" i="41"/>
  <c r="H95" i="41"/>
  <c r="I95" i="41"/>
  <c r="J95" i="41"/>
  <c r="K95" i="41"/>
  <c r="D96" i="41"/>
  <c r="E96" i="41"/>
  <c r="F96" i="41"/>
  <c r="G96" i="41"/>
  <c r="H96" i="41"/>
  <c r="I96" i="41"/>
  <c r="J96" i="41"/>
  <c r="K96" i="41"/>
  <c r="D97" i="41"/>
  <c r="E97" i="41"/>
  <c r="F97" i="41"/>
  <c r="G97" i="41"/>
  <c r="I97" i="41"/>
  <c r="J97" i="41"/>
  <c r="K97" i="41"/>
  <c r="D98" i="41"/>
  <c r="E98" i="41"/>
  <c r="F98" i="41"/>
  <c r="G98" i="41"/>
  <c r="H98" i="41"/>
  <c r="J98" i="41"/>
  <c r="K98" i="41"/>
  <c r="D99" i="41"/>
  <c r="E99" i="41"/>
  <c r="F99" i="41"/>
  <c r="G99" i="41"/>
  <c r="H99" i="41"/>
  <c r="I99" i="41"/>
  <c r="K99" i="41"/>
  <c r="D100" i="41"/>
  <c r="E100" i="41"/>
  <c r="F100" i="41"/>
  <c r="G100" i="41"/>
  <c r="H100" i="41"/>
  <c r="I100" i="41"/>
  <c r="J100" i="41"/>
  <c r="D101" i="41"/>
  <c r="E101" i="41"/>
  <c r="F101" i="41"/>
  <c r="G101" i="41"/>
  <c r="I101" i="41"/>
  <c r="J101" i="41"/>
  <c r="K101" i="41"/>
  <c r="D102" i="41"/>
  <c r="E102" i="41"/>
  <c r="F102" i="41"/>
  <c r="G102" i="41"/>
  <c r="H102" i="41"/>
  <c r="J102" i="41"/>
  <c r="K102" i="41"/>
  <c r="D103" i="41"/>
  <c r="E103" i="41"/>
  <c r="F103" i="41"/>
  <c r="G103" i="41"/>
  <c r="H103" i="41"/>
  <c r="I103" i="41"/>
  <c r="K103" i="41"/>
  <c r="D104" i="41"/>
  <c r="E104" i="41"/>
  <c r="F104" i="41"/>
  <c r="G104" i="41"/>
  <c r="H104" i="41"/>
  <c r="I104" i="41"/>
  <c r="J104" i="41"/>
  <c r="D105" i="41"/>
  <c r="E105" i="41"/>
  <c r="F105" i="41"/>
  <c r="G105" i="41"/>
  <c r="H105" i="41"/>
  <c r="I105" i="41"/>
  <c r="J105" i="41"/>
  <c r="C97" i="41"/>
  <c r="B31" i="41"/>
  <c r="O66" i="40"/>
  <c r="L66" i="40"/>
  <c r="K104" i="41" s="1"/>
  <c r="O64" i="40"/>
  <c r="L64" i="40"/>
  <c r="J103" i="41" s="1"/>
  <c r="O62" i="40"/>
  <c r="L62" i="40"/>
  <c r="B32" i="41" s="1"/>
  <c r="O60" i="40"/>
  <c r="L60" i="40"/>
  <c r="H101" i="41" s="1"/>
  <c r="O56" i="40"/>
  <c r="L56" i="40"/>
  <c r="G283" i="8"/>
  <c r="B164" i="7"/>
  <c r="B163" i="7"/>
  <c r="B162" i="7"/>
  <c r="B161" i="7"/>
  <c r="B160" i="7"/>
  <c r="B159" i="7"/>
  <c r="B158" i="7"/>
  <c r="D158" i="7" s="1"/>
  <c r="B157" i="7"/>
  <c r="C157" i="7" s="1"/>
  <c r="B156" i="7"/>
  <c r="B151" i="7"/>
  <c r="B150" i="7"/>
  <c r="B149" i="7"/>
  <c r="B148" i="7"/>
  <c r="B147" i="7"/>
  <c r="B146" i="7"/>
  <c r="B145" i="7"/>
  <c r="C145" i="7" s="1"/>
  <c r="B144" i="7"/>
  <c r="C144" i="7" s="1"/>
  <c r="B143" i="7"/>
  <c r="F272" i="8"/>
  <c r="X262" i="8" s="1"/>
  <c r="X197" i="8"/>
  <c r="X171" i="8"/>
  <c r="X160" i="8"/>
  <c r="X165" i="8"/>
  <c r="X155" i="8"/>
  <c r="X159" i="8"/>
  <c r="W143" i="8"/>
  <c r="X170" i="8"/>
  <c r="V161" i="8"/>
  <c r="X148" i="8"/>
  <c r="X132" i="8"/>
  <c r="X60" i="8"/>
  <c r="K133" i="50"/>
  <c r="K129" i="50"/>
  <c r="K127" i="50"/>
  <c r="K126" i="50"/>
  <c r="K125" i="50"/>
  <c r="K124" i="50"/>
  <c r="K123" i="50"/>
  <c r="K120" i="50"/>
  <c r="K115" i="50"/>
  <c r="K96" i="50"/>
  <c r="K94" i="50"/>
  <c r="K93" i="50"/>
  <c r="K92" i="50"/>
  <c r="K84" i="50"/>
  <c r="K144" i="50"/>
  <c r="K143" i="50"/>
  <c r="K142" i="50"/>
  <c r="K141" i="50"/>
  <c r="K140" i="50"/>
  <c r="K139" i="50"/>
  <c r="K138" i="50"/>
  <c r="K137" i="50"/>
  <c r="K136" i="50"/>
  <c r="K135" i="50"/>
  <c r="K134" i="50"/>
  <c r="K132" i="50"/>
  <c r="K131" i="50"/>
  <c r="K130" i="50"/>
  <c r="K128" i="50"/>
  <c r="K122" i="50"/>
  <c r="K121" i="50"/>
  <c r="K119" i="50"/>
  <c r="K118" i="50"/>
  <c r="K117" i="50"/>
  <c r="K116" i="50"/>
  <c r="K114" i="50"/>
  <c r="K113" i="50"/>
  <c r="K112" i="50"/>
  <c r="K111" i="50"/>
  <c r="K110" i="50"/>
  <c r="K109" i="50"/>
  <c r="K108" i="50"/>
  <c r="K107" i="50"/>
  <c r="K106" i="50"/>
  <c r="K105" i="50"/>
  <c r="K104" i="50"/>
  <c r="K103" i="50"/>
  <c r="K102" i="50"/>
  <c r="K101" i="50"/>
  <c r="K100" i="50"/>
  <c r="K99" i="50"/>
  <c r="K98" i="50"/>
  <c r="K97" i="50"/>
  <c r="K95" i="50"/>
  <c r="K91" i="50"/>
  <c r="K90" i="50"/>
  <c r="K89" i="50"/>
  <c r="K88" i="50"/>
  <c r="K87" i="50"/>
  <c r="K86" i="50"/>
  <c r="K85" i="50"/>
  <c r="K83" i="50"/>
  <c r="K82" i="50"/>
  <c r="K81" i="50"/>
  <c r="K80" i="50"/>
  <c r="J144" i="50"/>
  <c r="J143" i="50"/>
  <c r="J142" i="50"/>
  <c r="J141" i="50"/>
  <c r="J140" i="50"/>
  <c r="J139" i="50"/>
  <c r="J138" i="50"/>
  <c r="J137" i="50"/>
  <c r="J136"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J94" i="50"/>
  <c r="J93" i="50"/>
  <c r="J92" i="50"/>
  <c r="J91" i="50"/>
  <c r="J90" i="50"/>
  <c r="J89" i="50"/>
  <c r="J88" i="50"/>
  <c r="J87" i="50"/>
  <c r="J86" i="50"/>
  <c r="J85" i="50"/>
  <c r="J84" i="50"/>
  <c r="J83" i="50"/>
  <c r="J82" i="50"/>
  <c r="J81" i="50"/>
  <c r="J80" i="50"/>
  <c r="I144" i="50"/>
  <c r="I143" i="50"/>
  <c r="I142" i="50"/>
  <c r="I141" i="50"/>
  <c r="I140" i="50"/>
  <c r="I139" i="50"/>
  <c r="I138" i="50"/>
  <c r="I137" i="50"/>
  <c r="I136" i="50"/>
  <c r="I135" i="50"/>
  <c r="I134" i="50"/>
  <c r="I133" i="50"/>
  <c r="I132" i="50"/>
  <c r="I131" i="50"/>
  <c r="I130" i="50"/>
  <c r="I129" i="50"/>
  <c r="I128" i="50"/>
  <c r="I127" i="50"/>
  <c r="I126" i="50"/>
  <c r="I125" i="50"/>
  <c r="I124" i="50"/>
  <c r="I123" i="50"/>
  <c r="I122" i="50"/>
  <c r="I121" i="50"/>
  <c r="I120" i="50"/>
  <c r="I119" i="50"/>
  <c r="I118" i="50"/>
  <c r="I117" i="50"/>
  <c r="I116" i="50"/>
  <c r="I115" i="50"/>
  <c r="I114" i="50"/>
  <c r="I113" i="50"/>
  <c r="I112" i="50"/>
  <c r="I111" i="50"/>
  <c r="I110" i="50"/>
  <c r="I109" i="50"/>
  <c r="I108" i="50"/>
  <c r="I107" i="50"/>
  <c r="I106" i="50"/>
  <c r="I105" i="50"/>
  <c r="I104" i="50"/>
  <c r="I103" i="50"/>
  <c r="I102" i="50"/>
  <c r="I101" i="50"/>
  <c r="I100" i="50"/>
  <c r="I99" i="50"/>
  <c r="I98" i="50"/>
  <c r="I97" i="50"/>
  <c r="I96" i="50"/>
  <c r="I95" i="50"/>
  <c r="I94" i="50"/>
  <c r="I93" i="50"/>
  <c r="I92" i="50"/>
  <c r="I91" i="50"/>
  <c r="I90" i="50"/>
  <c r="I89" i="50"/>
  <c r="I88" i="50"/>
  <c r="I87" i="50"/>
  <c r="I86" i="50"/>
  <c r="I85" i="50"/>
  <c r="I84" i="50"/>
  <c r="I83" i="50"/>
  <c r="I82" i="50"/>
  <c r="I81" i="50"/>
  <c r="I80" i="50"/>
  <c r="H144" i="50"/>
  <c r="H143" i="50"/>
  <c r="H142" i="50"/>
  <c r="H141" i="50"/>
  <c r="H140" i="50"/>
  <c r="H139" i="50"/>
  <c r="H138" i="50"/>
  <c r="H137" i="50"/>
  <c r="H136" i="50"/>
  <c r="H135" i="50"/>
  <c r="H134" i="50"/>
  <c r="H133" i="50"/>
  <c r="H132" i="50"/>
  <c r="H131" i="50"/>
  <c r="H130" i="50"/>
  <c r="H129" i="50"/>
  <c r="H128" i="50"/>
  <c r="H127" i="50"/>
  <c r="H126" i="50"/>
  <c r="H125" i="50"/>
  <c r="H124" i="50"/>
  <c r="H123" i="50"/>
  <c r="H122" i="50"/>
  <c r="H121" i="50"/>
  <c r="H120" i="50"/>
  <c r="H119" i="50"/>
  <c r="H118" i="50"/>
  <c r="H117" i="50"/>
  <c r="H116" i="50"/>
  <c r="H115" i="50"/>
  <c r="H114" i="50"/>
  <c r="H113" i="50"/>
  <c r="H112" i="50"/>
  <c r="H111" i="50"/>
  <c r="H110" i="50"/>
  <c r="H109" i="50"/>
  <c r="H108" i="50"/>
  <c r="H107" i="50"/>
  <c r="H106" i="50"/>
  <c r="H105" i="50"/>
  <c r="H104" i="50"/>
  <c r="H103" i="50"/>
  <c r="H102" i="50"/>
  <c r="H101" i="50"/>
  <c r="H100" i="50"/>
  <c r="H99" i="50"/>
  <c r="H98" i="50"/>
  <c r="H97" i="50"/>
  <c r="H96" i="50"/>
  <c r="H95" i="50"/>
  <c r="H94" i="50"/>
  <c r="H93" i="50"/>
  <c r="H92" i="50"/>
  <c r="H91" i="50"/>
  <c r="H90" i="50"/>
  <c r="H89" i="50"/>
  <c r="H88" i="50"/>
  <c r="H87" i="50"/>
  <c r="H86" i="50"/>
  <c r="H85" i="50"/>
  <c r="H84" i="50"/>
  <c r="H83" i="50"/>
  <c r="H81" i="50"/>
  <c r="H80" i="50"/>
  <c r="G144" i="50"/>
  <c r="G143" i="50"/>
  <c r="G141" i="50"/>
  <c r="G140" i="50"/>
  <c r="G139" i="50"/>
  <c r="G138" i="50"/>
  <c r="G137" i="50"/>
  <c r="G136" i="50"/>
  <c r="G135" i="50"/>
  <c r="G134" i="50"/>
  <c r="G132" i="50"/>
  <c r="G131" i="50"/>
  <c r="G130" i="50"/>
  <c r="G129" i="50"/>
  <c r="G126" i="50"/>
  <c r="G122" i="50"/>
  <c r="G121" i="50"/>
  <c r="G120" i="50"/>
  <c r="G119" i="50"/>
  <c r="G118" i="50"/>
  <c r="G117" i="50"/>
  <c r="G116" i="50"/>
  <c r="G115" i="50"/>
  <c r="G114" i="50"/>
  <c r="G112" i="50"/>
  <c r="G111" i="50"/>
  <c r="G110" i="50"/>
  <c r="G109" i="50"/>
  <c r="G108" i="50"/>
  <c r="G107" i="50"/>
  <c r="G106" i="50"/>
  <c r="G105" i="50"/>
  <c r="G104" i="50"/>
  <c r="G102" i="50"/>
  <c r="G101" i="50"/>
  <c r="G100" i="50"/>
  <c r="G99" i="50"/>
  <c r="G98" i="50"/>
  <c r="G97" i="50"/>
  <c r="G96" i="50"/>
  <c r="G95" i="50"/>
  <c r="G94" i="50"/>
  <c r="G93" i="50"/>
  <c r="G92" i="50"/>
  <c r="G91" i="50"/>
  <c r="G90" i="50"/>
  <c r="G89" i="50"/>
  <c r="G88" i="50"/>
  <c r="G87" i="50"/>
  <c r="G86" i="50"/>
  <c r="G85" i="50"/>
  <c r="G84" i="50"/>
  <c r="G82" i="50"/>
  <c r="G81" i="50"/>
  <c r="G80" i="50"/>
  <c r="F144" i="50"/>
  <c r="F143" i="50"/>
  <c r="F141" i="50"/>
  <c r="F140" i="50"/>
  <c r="F139" i="50"/>
  <c r="F138" i="50"/>
  <c r="F137" i="50"/>
  <c r="F136" i="50"/>
  <c r="F135" i="50"/>
  <c r="F134" i="50"/>
  <c r="F132" i="50"/>
  <c r="F131" i="50"/>
  <c r="F130" i="50"/>
  <c r="F129" i="50"/>
  <c r="F126" i="50"/>
  <c r="F122" i="50"/>
  <c r="F121" i="50"/>
  <c r="F120" i="50"/>
  <c r="F119" i="50"/>
  <c r="F118" i="50"/>
  <c r="F117" i="50"/>
  <c r="F116" i="50"/>
  <c r="F115" i="50"/>
  <c r="F114" i="50"/>
  <c r="F112" i="50"/>
  <c r="F111" i="50"/>
  <c r="F110" i="50"/>
  <c r="F109" i="50"/>
  <c r="F108" i="50"/>
  <c r="F107" i="50"/>
  <c r="F106" i="50"/>
  <c r="F105" i="50"/>
  <c r="F104" i="50"/>
  <c r="F102" i="50"/>
  <c r="F101" i="50"/>
  <c r="F100" i="50"/>
  <c r="F99" i="50"/>
  <c r="F98" i="50"/>
  <c r="F97" i="50"/>
  <c r="F96" i="50"/>
  <c r="F95" i="50"/>
  <c r="F94" i="50"/>
  <c r="F93" i="50"/>
  <c r="F92" i="50"/>
  <c r="F91" i="50"/>
  <c r="F90" i="50"/>
  <c r="F89" i="50"/>
  <c r="F88" i="50"/>
  <c r="F87" i="50"/>
  <c r="F86" i="50"/>
  <c r="F85" i="50"/>
  <c r="F84" i="50"/>
  <c r="F82" i="50"/>
  <c r="F81" i="50"/>
  <c r="F80" i="50"/>
  <c r="E144" i="50"/>
  <c r="E143" i="50"/>
  <c r="E142" i="50"/>
  <c r="E141" i="50"/>
  <c r="E140" i="50"/>
  <c r="E139" i="50"/>
  <c r="E138" i="50"/>
  <c r="E137" i="50"/>
  <c r="E136" i="50"/>
  <c r="E135" i="50"/>
  <c r="E134" i="50"/>
  <c r="E133" i="50"/>
  <c r="E132" i="50"/>
  <c r="E131" i="50"/>
  <c r="E130" i="50"/>
  <c r="E129" i="50"/>
  <c r="E128" i="50"/>
  <c r="E127" i="50"/>
  <c r="E126" i="50"/>
  <c r="E125" i="50"/>
  <c r="E124" i="50"/>
  <c r="E123" i="50"/>
  <c r="E122" i="50"/>
  <c r="E121" i="50"/>
  <c r="E120" i="50"/>
  <c r="E119" i="50"/>
  <c r="E118" i="50"/>
  <c r="E117" i="50"/>
  <c r="E116" i="50"/>
  <c r="E115" i="50"/>
  <c r="E114" i="50"/>
  <c r="E113" i="50"/>
  <c r="E112" i="50"/>
  <c r="E111" i="50"/>
  <c r="E110" i="50"/>
  <c r="E109" i="50"/>
  <c r="E108" i="50"/>
  <c r="E107" i="50"/>
  <c r="E106" i="50"/>
  <c r="E105" i="50"/>
  <c r="E104" i="50"/>
  <c r="E103" i="50"/>
  <c r="E102" i="50"/>
  <c r="E101" i="50"/>
  <c r="E100" i="50"/>
  <c r="E99" i="50"/>
  <c r="E98" i="50"/>
  <c r="E97" i="50"/>
  <c r="E96" i="50"/>
  <c r="E95" i="50"/>
  <c r="E94" i="50"/>
  <c r="E93" i="50"/>
  <c r="E92" i="50"/>
  <c r="E91" i="50"/>
  <c r="E90" i="50"/>
  <c r="E89" i="50"/>
  <c r="E88" i="50"/>
  <c r="E87" i="50"/>
  <c r="E86" i="50"/>
  <c r="E85" i="50"/>
  <c r="E84" i="50"/>
  <c r="E83" i="50"/>
  <c r="E82" i="50"/>
  <c r="E81" i="50"/>
  <c r="E80" i="50"/>
  <c r="K145" i="50"/>
  <c r="D144" i="50"/>
  <c r="D143" i="50"/>
  <c r="D142" i="50"/>
  <c r="D141" i="50"/>
  <c r="D140" i="50"/>
  <c r="D139" i="50"/>
  <c r="D138" i="50"/>
  <c r="D137" i="50"/>
  <c r="D136" i="50"/>
  <c r="D135" i="50"/>
  <c r="D134" i="50"/>
  <c r="D133" i="50"/>
  <c r="D132" i="50"/>
  <c r="D131" i="50"/>
  <c r="D130" i="50"/>
  <c r="D129" i="50"/>
  <c r="D128" i="50"/>
  <c r="D127" i="50"/>
  <c r="D126" i="50"/>
  <c r="D125" i="50"/>
  <c r="D124" i="50"/>
  <c r="D123" i="50"/>
  <c r="D122" i="50"/>
  <c r="D121" i="50"/>
  <c r="D120" i="50"/>
  <c r="D119" i="50"/>
  <c r="D118" i="50"/>
  <c r="D117" i="50"/>
  <c r="D116" i="50"/>
  <c r="D115" i="50"/>
  <c r="D114" i="50"/>
  <c r="D113" i="50"/>
  <c r="D112" i="50"/>
  <c r="D111" i="50"/>
  <c r="D110" i="50"/>
  <c r="D109" i="50"/>
  <c r="D108" i="50"/>
  <c r="D107" i="50"/>
  <c r="D106" i="50"/>
  <c r="D105" i="50"/>
  <c r="D104" i="50"/>
  <c r="D103" i="50"/>
  <c r="D102" i="50"/>
  <c r="D101" i="50"/>
  <c r="D100" i="50"/>
  <c r="D99" i="50"/>
  <c r="D98" i="50"/>
  <c r="D97" i="50"/>
  <c r="D96" i="50"/>
  <c r="D95" i="50"/>
  <c r="D94" i="50"/>
  <c r="D93" i="50"/>
  <c r="D92" i="50"/>
  <c r="D91" i="50"/>
  <c r="D90" i="50"/>
  <c r="D89" i="50"/>
  <c r="D88" i="50"/>
  <c r="D87" i="50"/>
  <c r="D86" i="50"/>
  <c r="D85" i="50"/>
  <c r="D84" i="50"/>
  <c r="D83" i="50"/>
  <c r="D82" i="50"/>
  <c r="D81" i="50"/>
  <c r="D80" i="50"/>
  <c r="C140" i="50"/>
  <c r="C126" i="50"/>
  <c r="C122" i="50"/>
  <c r="C121" i="50"/>
  <c r="C120" i="50"/>
  <c r="C119" i="50"/>
  <c r="C106" i="50"/>
  <c r="C93" i="50"/>
  <c r="C91" i="50"/>
  <c r="C90" i="50"/>
  <c r="C88" i="50"/>
  <c r="B54" i="50"/>
  <c r="C92" i="50"/>
  <c r="B78" i="50"/>
  <c r="B72" i="50"/>
  <c r="L182" i="40" l="1"/>
  <c r="C144" i="41"/>
  <c r="I102" i="41"/>
  <c r="G59" i="54"/>
  <c r="G63" i="54"/>
  <c r="H63" i="54" s="1"/>
  <c r="G62" i="54"/>
  <c r="H62" i="54" s="1"/>
  <c r="G71" i="54"/>
  <c r="G54" i="54"/>
  <c r="H54" i="54" s="1"/>
  <c r="G55" i="54"/>
  <c r="H55" i="54" s="1"/>
  <c r="J145" i="50"/>
  <c r="V109" i="15"/>
  <c r="D267" i="54"/>
  <c r="C159" i="41"/>
  <c r="N267" i="54"/>
  <c r="G69" i="56"/>
  <c r="G70" i="56" s="1"/>
  <c r="G79" i="56" s="1"/>
  <c r="H59" i="56"/>
  <c r="H69" i="56" s="1"/>
  <c r="H70" i="56" s="1"/>
  <c r="H79" i="56" s="1"/>
  <c r="H86" i="56" s="1"/>
  <c r="H82" i="56"/>
  <c r="H89" i="56" s="1"/>
  <c r="J85" i="56"/>
  <c r="J83" i="56"/>
  <c r="J84" i="56"/>
  <c r="I70" i="54"/>
  <c r="I79" i="54" s="1"/>
  <c r="G69" i="54"/>
  <c r="H59" i="54"/>
  <c r="H69" i="54" s="1"/>
  <c r="G52" i="54"/>
  <c r="H52" i="54" s="1"/>
  <c r="G60" i="54"/>
  <c r="H60" i="54" s="1"/>
  <c r="G61" i="54"/>
  <c r="H61" i="54" s="1"/>
  <c r="G53" i="54"/>
  <c r="H53" i="54" s="1"/>
  <c r="G51" i="54"/>
  <c r="G78" i="54"/>
  <c r="H78" i="54"/>
  <c r="K78" i="54"/>
  <c r="L78" i="54"/>
  <c r="I78" i="54"/>
  <c r="J78" i="54"/>
  <c r="C268" i="54"/>
  <c r="C267" i="54"/>
  <c r="K80" i="54"/>
  <c r="L82" i="54" s="1"/>
  <c r="L89" i="54" s="1"/>
  <c r="L80" i="54"/>
  <c r="L86" i="54" s="1"/>
  <c r="L70" i="54"/>
  <c r="L79" i="54" s="1"/>
  <c r="G80" i="54"/>
  <c r="H80" i="54"/>
  <c r="K70" i="54"/>
  <c r="K79" i="54" s="1"/>
  <c r="J70" i="54"/>
  <c r="J79" i="54" s="1"/>
  <c r="I80" i="54"/>
  <c r="J82" i="54" s="1"/>
  <c r="J89" i="54" s="1"/>
  <c r="J80" i="54"/>
  <c r="J86" i="54" s="1"/>
  <c r="Q10" i="41"/>
  <c r="Q9" i="41"/>
  <c r="Q8" i="41"/>
  <c r="C153" i="41"/>
  <c r="C152" i="41"/>
  <c r="C154" i="41"/>
  <c r="N11" i="41"/>
  <c r="K154" i="41"/>
  <c r="K152" i="41"/>
  <c r="K147" i="41"/>
  <c r="I147" i="41"/>
  <c r="G147" i="41"/>
  <c r="E147" i="41"/>
  <c r="J147" i="41"/>
  <c r="H147" i="41"/>
  <c r="F147" i="41"/>
  <c r="D147" i="41"/>
  <c r="H9" i="41"/>
  <c r="H8" i="41"/>
  <c r="H10" i="41"/>
  <c r="C128" i="41"/>
  <c r="C130" i="41"/>
  <c r="C129" i="41"/>
  <c r="G138" i="41"/>
  <c r="K136" i="41"/>
  <c r="E24" i="41"/>
  <c r="E26" i="41"/>
  <c r="C127" i="41"/>
  <c r="E25" i="41"/>
  <c r="C103" i="41"/>
  <c r="C101" i="41"/>
  <c r="E106" i="41"/>
  <c r="C102" i="41"/>
  <c r="C104" i="41"/>
  <c r="D106" i="41"/>
  <c r="G106" i="41"/>
  <c r="F106" i="41"/>
  <c r="C158" i="7"/>
  <c r="D145" i="7"/>
  <c r="I145" i="50"/>
  <c r="D145" i="50"/>
  <c r="E145" i="50"/>
  <c r="C144" i="50"/>
  <c r="H84" i="56" l="1"/>
  <c r="H85" i="56"/>
  <c r="H83" i="56"/>
  <c r="H51" i="54"/>
  <c r="H68" i="54" s="1"/>
  <c r="G68" i="54"/>
  <c r="J85" i="54"/>
  <c r="J83" i="54"/>
  <c r="J84" i="54"/>
  <c r="L84" i="54"/>
  <c r="L85" i="54"/>
  <c r="L83" i="54"/>
  <c r="B68" i="50"/>
  <c r="B53" i="50"/>
  <c r="B49" i="50"/>
  <c r="B48" i="50"/>
  <c r="B47" i="50"/>
  <c r="B46" i="50"/>
  <c r="C114" i="50"/>
  <c r="C105" i="50"/>
  <c r="C103" i="50"/>
  <c r="C102" i="50"/>
  <c r="C101" i="50"/>
  <c r="B33" i="50"/>
  <c r="C98" i="50"/>
  <c r="C96" i="50"/>
  <c r="B19" i="50"/>
  <c r="B18" i="50"/>
  <c r="C89" i="50"/>
  <c r="C87" i="50"/>
  <c r="C83" i="50"/>
  <c r="H82" i="50"/>
  <c r="H145" i="50" s="1"/>
  <c r="C81" i="50"/>
  <c r="C80" i="50"/>
  <c r="C157" i="41"/>
  <c r="Q12" i="41"/>
  <c r="Z166" i="40"/>
  <c r="O54" i="40"/>
  <c r="L54" i="40"/>
  <c r="O52" i="40"/>
  <c r="L52" i="40"/>
  <c r="O50" i="40"/>
  <c r="L50" i="40"/>
  <c r="H97" i="41"/>
  <c r="H106" i="41" s="1"/>
  <c r="J71" i="40"/>
  <c r="L74" i="40"/>
  <c r="O74" i="40"/>
  <c r="O76" i="40"/>
  <c r="V70" i="8"/>
  <c r="O46" i="40"/>
  <c r="O44" i="40"/>
  <c r="L46" i="40"/>
  <c r="C111" i="41" l="1"/>
  <c r="S128" i="15"/>
  <c r="T128" i="15" s="1"/>
  <c r="S129" i="15" s="1"/>
  <c r="I98" i="41"/>
  <c r="I106" i="41" s="1"/>
  <c r="C98" i="41"/>
  <c r="J99" i="41"/>
  <c r="J106" i="41" s="1"/>
  <c r="C99" i="41"/>
  <c r="K100" i="41"/>
  <c r="C100" i="41"/>
  <c r="G77" i="54"/>
  <c r="G70" i="54"/>
  <c r="G79" i="54" s="1"/>
  <c r="H77" i="54"/>
  <c r="H70" i="54"/>
  <c r="H79" i="54" s="1"/>
  <c r="C162" i="41"/>
  <c r="Q11" i="41"/>
  <c r="B26" i="41"/>
  <c r="C96" i="41"/>
  <c r="K105" i="41"/>
  <c r="C105" i="41"/>
  <c r="B21" i="50"/>
  <c r="C94" i="50"/>
  <c r="B22" i="50"/>
  <c r="C95" i="50"/>
  <c r="B24" i="50"/>
  <c r="C97" i="50"/>
  <c r="B26" i="50"/>
  <c r="C99" i="50"/>
  <c r="B27" i="50"/>
  <c r="C100" i="50"/>
  <c r="F127" i="50"/>
  <c r="C127" i="50"/>
  <c r="F128" i="50"/>
  <c r="C128" i="50"/>
  <c r="B57" i="50"/>
  <c r="C129" i="50"/>
  <c r="B58" i="50"/>
  <c r="C130" i="50"/>
  <c r="B59" i="50"/>
  <c r="C131" i="50"/>
  <c r="B60" i="50"/>
  <c r="C132" i="50"/>
  <c r="F133" i="50"/>
  <c r="C133" i="50"/>
  <c r="B65" i="50"/>
  <c r="C137" i="50"/>
  <c r="B66" i="50"/>
  <c r="C138" i="50"/>
  <c r="B67" i="50"/>
  <c r="C139" i="50"/>
  <c r="B62" i="50"/>
  <c r="C134" i="50"/>
  <c r="B63" i="50"/>
  <c r="C135" i="50"/>
  <c r="B64" i="50"/>
  <c r="C136" i="50"/>
  <c r="C141" i="50"/>
  <c r="B69" i="50"/>
  <c r="F142" i="50"/>
  <c r="C142" i="50"/>
  <c r="B9" i="50"/>
  <c r="C82" i="50"/>
  <c r="B11" i="50"/>
  <c r="C84" i="50"/>
  <c r="B12" i="50"/>
  <c r="C85" i="50"/>
  <c r="B13" i="50"/>
  <c r="C86" i="50"/>
  <c r="B34" i="50"/>
  <c r="C107" i="50"/>
  <c r="B35" i="50"/>
  <c r="C108" i="50"/>
  <c r="B31" i="50"/>
  <c r="C104" i="50"/>
  <c r="B36" i="50"/>
  <c r="C109" i="50"/>
  <c r="B37" i="50"/>
  <c r="C110" i="50"/>
  <c r="B38" i="50"/>
  <c r="C111" i="50"/>
  <c r="B39" i="50"/>
  <c r="C112" i="50"/>
  <c r="F113" i="50"/>
  <c r="C113" i="50"/>
  <c r="B42" i="50"/>
  <c r="C115" i="50"/>
  <c r="B43" i="50"/>
  <c r="C116" i="50"/>
  <c r="B44" i="50"/>
  <c r="C117" i="50"/>
  <c r="B45" i="50"/>
  <c r="C118" i="50"/>
  <c r="F123" i="50"/>
  <c r="C123" i="50"/>
  <c r="F124" i="50"/>
  <c r="C124" i="50"/>
  <c r="F125" i="50"/>
  <c r="C125" i="50"/>
  <c r="C158" i="41"/>
  <c r="H164" i="41"/>
  <c r="G83" i="50"/>
  <c r="F83" i="50"/>
  <c r="F103" i="50"/>
  <c r="G103" i="50"/>
  <c r="B40" i="50"/>
  <c r="G113" i="50"/>
  <c r="B50" i="50"/>
  <c r="G123" i="50"/>
  <c r="B51" i="50"/>
  <c r="G124" i="50"/>
  <c r="B52" i="50"/>
  <c r="G125" i="50"/>
  <c r="B55" i="50"/>
  <c r="G127" i="50"/>
  <c r="B56" i="50"/>
  <c r="G128" i="50"/>
  <c r="B61" i="50"/>
  <c r="G133" i="50"/>
  <c r="B70" i="50"/>
  <c r="G142" i="50"/>
  <c r="B71" i="50"/>
  <c r="C143" i="50"/>
  <c r="B41" i="50"/>
  <c r="B28" i="50"/>
  <c r="B29" i="50"/>
  <c r="B30" i="50"/>
  <c r="B32" i="50"/>
  <c r="B25" i="50"/>
  <c r="B23" i="50"/>
  <c r="B20" i="50"/>
  <c r="B14" i="50"/>
  <c r="B15" i="50"/>
  <c r="B17" i="50"/>
  <c r="B10" i="50"/>
  <c r="B16" i="50"/>
  <c r="B8" i="50"/>
  <c r="B7" i="50"/>
  <c r="C163" i="41"/>
  <c r="K164" i="41"/>
  <c r="E164" i="41"/>
  <c r="Q7" i="41"/>
  <c r="G164" i="41"/>
  <c r="I164" i="41"/>
  <c r="D164" i="41"/>
  <c r="F164" i="41"/>
  <c r="J164" i="41"/>
  <c r="B30" i="41"/>
  <c r="B29" i="41"/>
  <c r="B28" i="41"/>
  <c r="B27" i="41"/>
  <c r="C164" i="41" l="1"/>
  <c r="Q71" i="41"/>
  <c r="H86" i="54"/>
  <c r="H82" i="54"/>
  <c r="H89" i="54" s="1"/>
  <c r="K106" i="41"/>
  <c r="C145" i="50"/>
  <c r="G145" i="50"/>
  <c r="F145" i="50"/>
  <c r="B74" i="50"/>
  <c r="L44" i="40"/>
  <c r="C95" i="41" s="1"/>
  <c r="E109" i="14"/>
  <c r="B143" i="32"/>
  <c r="B143" i="36"/>
  <c r="B114" i="44"/>
  <c r="K135" i="38"/>
  <c r="M135" i="38"/>
  <c r="C135" i="38"/>
  <c r="D135" i="38"/>
  <c r="E135" i="38"/>
  <c r="F135" i="38"/>
  <c r="G135" i="38"/>
  <c r="H135" i="38"/>
  <c r="I135" i="38"/>
  <c r="J135" i="38"/>
  <c r="B113" i="46"/>
  <c r="K68" i="47"/>
  <c r="K67" i="47"/>
  <c r="K66" i="47"/>
  <c r="K65" i="47"/>
  <c r="K64" i="47"/>
  <c r="K63" i="47"/>
  <c r="K62" i="47"/>
  <c r="K61" i="47"/>
  <c r="K60" i="47"/>
  <c r="K59" i="47"/>
  <c r="K58" i="47"/>
  <c r="K57" i="47"/>
  <c r="K56" i="47"/>
  <c r="K55" i="47"/>
  <c r="K54" i="47"/>
  <c r="K53" i="47"/>
  <c r="J68" i="47"/>
  <c r="J67" i="47"/>
  <c r="J66" i="47"/>
  <c r="J65" i="47"/>
  <c r="J64" i="47"/>
  <c r="J63" i="47"/>
  <c r="J62" i="47"/>
  <c r="J61" i="47"/>
  <c r="J60" i="47"/>
  <c r="J59" i="47"/>
  <c r="J58" i="47"/>
  <c r="J57" i="47"/>
  <c r="J56" i="47"/>
  <c r="J55" i="47"/>
  <c r="J54" i="47"/>
  <c r="J53" i="47"/>
  <c r="K47" i="47"/>
  <c r="K46" i="47"/>
  <c r="K45" i="47"/>
  <c r="K44" i="47"/>
  <c r="K43" i="47"/>
  <c r="K42" i="47"/>
  <c r="K41" i="47"/>
  <c r="K40" i="47"/>
  <c r="K39" i="47"/>
  <c r="K38" i="47"/>
  <c r="K37" i="47"/>
  <c r="K36" i="47"/>
  <c r="K35" i="47"/>
  <c r="K34" i="47"/>
  <c r="K33" i="47"/>
  <c r="K32" i="47"/>
  <c r="K31" i="47"/>
  <c r="K30" i="47"/>
  <c r="J47" i="47"/>
  <c r="J46" i="47"/>
  <c r="J45" i="47"/>
  <c r="J44" i="47"/>
  <c r="J43" i="47"/>
  <c r="J42" i="47"/>
  <c r="J41" i="47"/>
  <c r="J40" i="47"/>
  <c r="J39" i="47"/>
  <c r="J38" i="47"/>
  <c r="J37" i="47"/>
  <c r="J36" i="47"/>
  <c r="J35" i="47"/>
  <c r="J34" i="47"/>
  <c r="J33" i="47"/>
  <c r="J32" i="47"/>
  <c r="J30" i="47"/>
  <c r="J31" i="47"/>
  <c r="B143" i="30"/>
  <c r="B143" i="24"/>
  <c r="B143" i="18"/>
  <c r="B146" i="14"/>
  <c r="B320" i="8"/>
  <c r="B139" i="7"/>
  <c r="J100" i="44"/>
  <c r="P17" i="8"/>
  <c r="L17" i="8"/>
  <c r="H17" i="8"/>
  <c r="H19" i="8"/>
  <c r="H21" i="8" s="1"/>
  <c r="H85" i="54" l="1"/>
  <c r="H84" i="54"/>
  <c r="H83" i="54"/>
  <c r="J156" i="41"/>
  <c r="K132" i="41"/>
  <c r="B25" i="41"/>
  <c r="K69" i="47"/>
  <c r="Q135" i="38"/>
  <c r="K48" i="47"/>
  <c r="K72" i="47" s="1"/>
  <c r="M80" i="47" s="1"/>
  <c r="H23" i="8"/>
  <c r="F11" i="8" s="1"/>
  <c r="F33" i="8" l="1"/>
  <c r="G58" i="7"/>
  <c r="H68" i="7" s="1"/>
  <c r="G70" i="7" s="1"/>
  <c r="C113" i="46"/>
  <c r="B101" i="46"/>
  <c r="C109" i="21"/>
  <c r="E118" i="14"/>
  <c r="E117" i="14"/>
  <c r="E116" i="14"/>
  <c r="E115" i="14"/>
  <c r="E113" i="14"/>
  <c r="H76" i="7" l="1" a="1"/>
  <c r="H76" i="7" s="1"/>
  <c r="G82" i="7" s="1"/>
  <c r="H82" i="7" s="1"/>
  <c r="G71" i="7"/>
  <c r="H71" i="7" s="1"/>
  <c r="H70" i="7"/>
  <c r="G74" i="7"/>
  <c r="H74" i="7" s="1"/>
  <c r="G73" i="7"/>
  <c r="H73" i="7" s="1"/>
  <c r="G72" i="7"/>
  <c r="H72" i="7" s="1"/>
  <c r="I76" i="46"/>
  <c r="H82" i="46" s="1"/>
  <c r="B75" i="41"/>
  <c r="B109" i="41"/>
  <c r="C134" i="41"/>
  <c r="C142" i="41"/>
  <c r="C148" i="41"/>
  <c r="I68" i="47"/>
  <c r="H68" i="47"/>
  <c r="G68" i="47"/>
  <c r="F68" i="47"/>
  <c r="E68" i="47"/>
  <c r="D68" i="47"/>
  <c r="I67" i="47"/>
  <c r="H67" i="47"/>
  <c r="G67" i="47"/>
  <c r="F67" i="47"/>
  <c r="E67" i="47"/>
  <c r="D67" i="47"/>
  <c r="I66" i="47"/>
  <c r="H66" i="47"/>
  <c r="G66" i="47"/>
  <c r="F66" i="47"/>
  <c r="E66" i="47"/>
  <c r="D66" i="47"/>
  <c r="I65" i="47"/>
  <c r="H65" i="47"/>
  <c r="G65" i="47"/>
  <c r="F65" i="47"/>
  <c r="E65" i="47"/>
  <c r="D65" i="47"/>
  <c r="I64" i="47"/>
  <c r="H64" i="47"/>
  <c r="G64" i="47"/>
  <c r="F64" i="47"/>
  <c r="E64" i="47"/>
  <c r="D64" i="47"/>
  <c r="I63" i="47"/>
  <c r="H63" i="47"/>
  <c r="G63" i="47"/>
  <c r="F63" i="47"/>
  <c r="E63" i="47"/>
  <c r="D63" i="47"/>
  <c r="I62" i="47"/>
  <c r="H62" i="47"/>
  <c r="G62" i="47"/>
  <c r="F62" i="47"/>
  <c r="E62" i="47"/>
  <c r="D62" i="47"/>
  <c r="I61" i="47"/>
  <c r="H61" i="47"/>
  <c r="G61" i="47"/>
  <c r="F61" i="47"/>
  <c r="E61" i="47"/>
  <c r="D61" i="47"/>
  <c r="I60" i="47"/>
  <c r="H60" i="47"/>
  <c r="G60" i="47"/>
  <c r="F60" i="47"/>
  <c r="E60" i="47"/>
  <c r="D60" i="47"/>
  <c r="I59" i="47"/>
  <c r="H59" i="47"/>
  <c r="G59" i="47"/>
  <c r="F59" i="47"/>
  <c r="E59" i="47"/>
  <c r="D59" i="47"/>
  <c r="I58" i="47"/>
  <c r="H58" i="47"/>
  <c r="G58" i="47"/>
  <c r="F58" i="47"/>
  <c r="E58" i="47"/>
  <c r="D58" i="47"/>
  <c r="I57" i="47"/>
  <c r="H57" i="47"/>
  <c r="G57" i="47"/>
  <c r="F57" i="47"/>
  <c r="E57" i="47"/>
  <c r="D57" i="47"/>
  <c r="I56" i="47"/>
  <c r="H56" i="47"/>
  <c r="G56" i="47"/>
  <c r="F56" i="47"/>
  <c r="E56" i="47"/>
  <c r="D56" i="47"/>
  <c r="I55" i="47"/>
  <c r="H55" i="47"/>
  <c r="G55" i="47"/>
  <c r="F55" i="47"/>
  <c r="E55" i="47"/>
  <c r="D55" i="47"/>
  <c r="I54" i="47"/>
  <c r="H54" i="47"/>
  <c r="G54" i="47"/>
  <c r="F54" i="47"/>
  <c r="E54" i="47"/>
  <c r="D54" i="47"/>
  <c r="I53" i="47"/>
  <c r="H53" i="47"/>
  <c r="G53" i="47"/>
  <c r="F53" i="47"/>
  <c r="E53" i="47"/>
  <c r="D53" i="47"/>
  <c r="I47" i="47"/>
  <c r="H47" i="47"/>
  <c r="G47" i="47"/>
  <c r="F47" i="47"/>
  <c r="E47" i="47"/>
  <c r="D47" i="47"/>
  <c r="I46" i="47"/>
  <c r="H46" i="47"/>
  <c r="G46" i="47"/>
  <c r="F46" i="47"/>
  <c r="E46" i="47"/>
  <c r="D46" i="47"/>
  <c r="I45" i="47"/>
  <c r="H45" i="47"/>
  <c r="G45" i="47"/>
  <c r="F45" i="47"/>
  <c r="E45" i="47"/>
  <c r="D45" i="47"/>
  <c r="I44" i="47"/>
  <c r="H44" i="47"/>
  <c r="G44" i="47"/>
  <c r="F44" i="47"/>
  <c r="E44" i="47"/>
  <c r="D44" i="47"/>
  <c r="I43" i="47"/>
  <c r="H43" i="47"/>
  <c r="G43" i="47"/>
  <c r="F43" i="47"/>
  <c r="E43" i="47"/>
  <c r="D43" i="47"/>
  <c r="I42" i="47"/>
  <c r="H42" i="47"/>
  <c r="G42" i="47"/>
  <c r="F42" i="47"/>
  <c r="E42" i="47"/>
  <c r="D42" i="47"/>
  <c r="I41" i="47"/>
  <c r="H41" i="47"/>
  <c r="G41" i="47"/>
  <c r="F41" i="47"/>
  <c r="E41" i="47"/>
  <c r="D41" i="47"/>
  <c r="I40" i="47"/>
  <c r="H40" i="47"/>
  <c r="G40" i="47"/>
  <c r="F40" i="47"/>
  <c r="E40" i="47"/>
  <c r="D40" i="47"/>
  <c r="I39" i="47"/>
  <c r="H39" i="47"/>
  <c r="G39" i="47"/>
  <c r="F39" i="47"/>
  <c r="E39" i="47"/>
  <c r="D39" i="47"/>
  <c r="I38" i="47"/>
  <c r="H38" i="47"/>
  <c r="G38" i="47"/>
  <c r="F38" i="47"/>
  <c r="E38" i="47"/>
  <c r="D38" i="47"/>
  <c r="I37" i="47"/>
  <c r="H37" i="47"/>
  <c r="G37" i="47"/>
  <c r="F37" i="47"/>
  <c r="E37" i="47"/>
  <c r="D37" i="47"/>
  <c r="I36" i="47"/>
  <c r="H36" i="47"/>
  <c r="G36" i="47"/>
  <c r="F36" i="47"/>
  <c r="E36" i="47"/>
  <c r="D36" i="47"/>
  <c r="I35" i="47"/>
  <c r="H35" i="47"/>
  <c r="G35" i="47"/>
  <c r="F35" i="47"/>
  <c r="E35" i="47"/>
  <c r="D35" i="47"/>
  <c r="I34" i="47"/>
  <c r="H34" i="47"/>
  <c r="G34" i="47"/>
  <c r="F34" i="47"/>
  <c r="E34" i="47"/>
  <c r="D34" i="47"/>
  <c r="I33" i="47"/>
  <c r="H33" i="47"/>
  <c r="G33" i="47"/>
  <c r="F33" i="47"/>
  <c r="E33" i="47"/>
  <c r="D33" i="47"/>
  <c r="I32" i="47"/>
  <c r="H32" i="47"/>
  <c r="G32" i="47"/>
  <c r="F32" i="47"/>
  <c r="E32" i="47"/>
  <c r="D32" i="47"/>
  <c r="I31" i="47"/>
  <c r="H31" i="47"/>
  <c r="G31" i="47"/>
  <c r="F31" i="47"/>
  <c r="E31" i="47"/>
  <c r="D31" i="47"/>
  <c r="I30" i="47"/>
  <c r="H30" i="47"/>
  <c r="G30" i="47"/>
  <c r="F30" i="47"/>
  <c r="E30" i="47"/>
  <c r="D30" i="47"/>
  <c r="E22" i="47"/>
  <c r="E21" i="47"/>
  <c r="E20" i="47"/>
  <c r="E19" i="47"/>
  <c r="E18" i="47"/>
  <c r="E17" i="47"/>
  <c r="E16" i="47"/>
  <c r="E15" i="47"/>
  <c r="E14" i="47"/>
  <c r="E13" i="47"/>
  <c r="E12" i="47"/>
  <c r="E11" i="47"/>
  <c r="E10" i="47"/>
  <c r="E9" i="47"/>
  <c r="E8" i="47"/>
  <c r="E7" i="47"/>
  <c r="E25" i="47" s="1"/>
  <c r="B24" i="47"/>
  <c r="B23" i="47"/>
  <c r="B22" i="47"/>
  <c r="B21" i="47"/>
  <c r="B20" i="47"/>
  <c r="B19" i="47"/>
  <c r="B18" i="47"/>
  <c r="B17" i="47"/>
  <c r="B16" i="47"/>
  <c r="B15" i="47"/>
  <c r="B14" i="47"/>
  <c r="B13" i="47"/>
  <c r="B12" i="47"/>
  <c r="B11" i="47"/>
  <c r="B10" i="47"/>
  <c r="B9" i="47"/>
  <c r="B8" i="47"/>
  <c r="B7" i="47"/>
  <c r="G69" i="47"/>
  <c r="B112" i="46"/>
  <c r="B111" i="46"/>
  <c r="B110" i="46"/>
  <c r="B109" i="46"/>
  <c r="B108" i="46"/>
  <c r="B107" i="46"/>
  <c r="B106" i="46"/>
  <c r="B105" i="46"/>
  <c r="G85" i="46"/>
  <c r="G96" i="46" s="1"/>
  <c r="Z77" i="46"/>
  <c r="C68" i="47"/>
  <c r="C67" i="47"/>
  <c r="C66" i="47"/>
  <c r="C65" i="47"/>
  <c r="C64" i="47"/>
  <c r="C63" i="47"/>
  <c r="C62" i="47"/>
  <c r="C61" i="47"/>
  <c r="C60" i="47"/>
  <c r="C59" i="47"/>
  <c r="C58" i="47"/>
  <c r="C57" i="47"/>
  <c r="C56" i="47"/>
  <c r="C55" i="47"/>
  <c r="C54" i="47"/>
  <c r="C47" i="47"/>
  <c r="C46" i="47"/>
  <c r="C45" i="47"/>
  <c r="C44" i="47"/>
  <c r="C43" i="47"/>
  <c r="C42" i="47"/>
  <c r="C41" i="47"/>
  <c r="C40" i="47"/>
  <c r="C39" i="47"/>
  <c r="C38" i="47"/>
  <c r="C37" i="47"/>
  <c r="C36" i="47"/>
  <c r="C35" i="47"/>
  <c r="C34" i="47"/>
  <c r="C33" i="47"/>
  <c r="C32" i="47"/>
  <c r="C31" i="47"/>
  <c r="G58" i="33"/>
  <c r="H76" i="33" s="1" a="1"/>
  <c r="H76" i="33" s="1"/>
  <c r="H93" i="15" l="1"/>
  <c r="N27" i="60"/>
  <c r="P27" i="60" s="1"/>
  <c r="D110" i="56"/>
  <c r="D112" i="56"/>
  <c r="D114" i="56"/>
  <c r="D109" i="56"/>
  <c r="D111" i="56"/>
  <c r="D113" i="56"/>
  <c r="C109" i="56"/>
  <c r="C112" i="56"/>
  <c r="C111" i="56"/>
  <c r="C113" i="56"/>
  <c r="C110" i="56"/>
  <c r="C114" i="56"/>
  <c r="G80" i="7"/>
  <c r="H80" i="7" s="1"/>
  <c r="G78" i="7"/>
  <c r="H78" i="7" s="1"/>
  <c r="G79" i="7"/>
  <c r="H79" i="7" s="1"/>
  <c r="G81" i="7"/>
  <c r="H81" i="7" s="1"/>
  <c r="H68" i="33"/>
  <c r="G73" i="33" s="1"/>
  <c r="H73" i="33" s="1"/>
  <c r="G78" i="33"/>
  <c r="H78" i="33" s="1"/>
  <c r="G72" i="33"/>
  <c r="H72" i="33" s="1"/>
  <c r="H93" i="56"/>
  <c r="C106" i="56"/>
  <c r="D106" i="56"/>
  <c r="H94" i="56"/>
  <c r="E107" i="56"/>
  <c r="J48" i="47"/>
  <c r="F48" i="47"/>
  <c r="E69" i="47"/>
  <c r="I69" i="47"/>
  <c r="D48" i="47"/>
  <c r="H48" i="47"/>
  <c r="D69" i="47"/>
  <c r="F69" i="47"/>
  <c r="H69" i="47"/>
  <c r="J69" i="47"/>
  <c r="B25" i="47"/>
  <c r="E48" i="47"/>
  <c r="G48" i="47"/>
  <c r="G72" i="47" s="1"/>
  <c r="I48" i="47"/>
  <c r="I72" i="47" s="1"/>
  <c r="C30" i="47"/>
  <c r="C48" i="47" s="1"/>
  <c r="C53" i="47"/>
  <c r="C69" i="47" s="1"/>
  <c r="B90" i="46"/>
  <c r="B79" i="46"/>
  <c r="E267" i="56" l="1"/>
  <c r="E111" i="56"/>
  <c r="E113" i="56"/>
  <c r="E110" i="56"/>
  <c r="E114" i="56"/>
  <c r="E109" i="56"/>
  <c r="E112" i="56"/>
  <c r="C273" i="56"/>
  <c r="C272" i="56"/>
  <c r="D273" i="56"/>
  <c r="D269" i="56"/>
  <c r="D272" i="56"/>
  <c r="C270" i="56"/>
  <c r="C271" i="56"/>
  <c r="C269" i="56"/>
  <c r="D271" i="56"/>
  <c r="D270" i="56"/>
  <c r="G81" i="33"/>
  <c r="H81" i="33" s="1"/>
  <c r="G70" i="33"/>
  <c r="H70" i="33" s="1"/>
  <c r="G74" i="33"/>
  <c r="H74" i="33" s="1"/>
  <c r="G79" i="33"/>
  <c r="H79" i="33" s="1"/>
  <c r="G82" i="33"/>
  <c r="H82" i="33" s="1"/>
  <c r="G71" i="33"/>
  <c r="H71" i="33" s="1"/>
  <c r="G80" i="33"/>
  <c r="H80" i="33" s="1"/>
  <c r="H95" i="56"/>
  <c r="E106" i="56"/>
  <c r="H107" i="56"/>
  <c r="M107" i="56"/>
  <c r="N108" i="56"/>
  <c r="G107" i="56"/>
  <c r="F107" i="56"/>
  <c r="E72" i="47"/>
  <c r="M74" i="47" s="1"/>
  <c r="C107" i="46" s="1"/>
  <c r="J72" i="47"/>
  <c r="M78" i="47"/>
  <c r="C111" i="46" s="1"/>
  <c r="M76" i="47"/>
  <c r="C109" i="46" s="1"/>
  <c r="H25" i="47"/>
  <c r="H93" i="46" s="1"/>
  <c r="H111" i="15" s="1"/>
  <c r="D72" i="47"/>
  <c r="C72" i="47"/>
  <c r="H72" i="47"/>
  <c r="F72" i="47"/>
  <c r="H85" i="46"/>
  <c r="F267" i="56" l="1"/>
  <c r="Q107" i="56"/>
  <c r="G267" i="56"/>
  <c r="N268" i="56"/>
  <c r="Q108" i="56"/>
  <c r="M267" i="56"/>
  <c r="H267" i="56"/>
  <c r="G109" i="56"/>
  <c r="G112" i="56"/>
  <c r="G111" i="56"/>
  <c r="G113" i="56"/>
  <c r="G110" i="56"/>
  <c r="G114" i="56"/>
  <c r="M110" i="56"/>
  <c r="M114" i="56"/>
  <c r="M111" i="56"/>
  <c r="M113" i="56"/>
  <c r="M112" i="56"/>
  <c r="M109" i="56"/>
  <c r="E272" i="56"/>
  <c r="E273" i="56"/>
  <c r="F113" i="56"/>
  <c r="F109" i="56"/>
  <c r="F111" i="56"/>
  <c r="F110" i="56"/>
  <c r="F112" i="56"/>
  <c r="F114" i="56"/>
  <c r="N110" i="56"/>
  <c r="N112" i="56"/>
  <c r="N114" i="56"/>
  <c r="N113" i="56"/>
  <c r="N109" i="56"/>
  <c r="N111" i="56"/>
  <c r="H110" i="56"/>
  <c r="H112" i="56"/>
  <c r="H114" i="56"/>
  <c r="H109" i="56"/>
  <c r="H111" i="56"/>
  <c r="H113" i="56"/>
  <c r="Q113" i="56"/>
  <c r="E269" i="56"/>
  <c r="E270" i="56"/>
  <c r="E271" i="56"/>
  <c r="F106" i="56"/>
  <c r="H96" i="56"/>
  <c r="H106" i="56"/>
  <c r="H98" i="56"/>
  <c r="H97" i="56"/>
  <c r="G106" i="56"/>
  <c r="H99" i="56"/>
  <c r="M106" i="56"/>
  <c r="N106" i="56"/>
  <c r="H100" i="56"/>
  <c r="M79" i="47"/>
  <c r="C112" i="46" s="1"/>
  <c r="M73" i="47"/>
  <c r="C106" i="46" s="1"/>
  <c r="M77" i="47"/>
  <c r="C110" i="46" s="1"/>
  <c r="M75" i="47"/>
  <c r="C108" i="46" s="1"/>
  <c r="M72" i="47"/>
  <c r="C105" i="46" s="1"/>
  <c r="H88" i="46"/>
  <c r="H273" i="56" l="1"/>
  <c r="H269" i="56"/>
  <c r="H272" i="56"/>
  <c r="N271" i="56"/>
  <c r="N273" i="56"/>
  <c r="N272" i="56"/>
  <c r="Q114" i="56"/>
  <c r="F270" i="56"/>
  <c r="Q110" i="56"/>
  <c r="F269" i="56"/>
  <c r="Q109" i="56"/>
  <c r="M269" i="56"/>
  <c r="M273" i="56"/>
  <c r="G273" i="56"/>
  <c r="G272" i="56"/>
  <c r="Q112" i="56"/>
  <c r="H271" i="56"/>
  <c r="H270" i="56"/>
  <c r="N269" i="56"/>
  <c r="N270" i="56"/>
  <c r="F272" i="56"/>
  <c r="F271" i="56"/>
  <c r="Q111" i="56"/>
  <c r="F273" i="56"/>
  <c r="M272" i="56"/>
  <c r="M271" i="56"/>
  <c r="M270" i="56"/>
  <c r="G270" i="56"/>
  <c r="G271" i="56"/>
  <c r="G269" i="56"/>
  <c r="M81" i="47"/>
  <c r="G39" i="44"/>
  <c r="H49" i="44" s="1"/>
  <c r="G43" i="44"/>
  <c r="L21" i="60" l="1"/>
  <c r="P21" i="60" s="1"/>
  <c r="H57" i="44" a="1"/>
  <c r="H57" i="44" s="1"/>
  <c r="G59" i="44" s="1"/>
  <c r="H59" i="44" s="1"/>
  <c r="G51" i="44"/>
  <c r="H51" i="44" s="1"/>
  <c r="G55" i="44"/>
  <c r="H55" i="44" s="1"/>
  <c r="J99" i="44"/>
  <c r="K39" i="44"/>
  <c r="L49" i="44" s="1"/>
  <c r="I39" i="44"/>
  <c r="J57" i="44" s="1"/>
  <c r="J98" i="44"/>
  <c r="J94" i="44"/>
  <c r="G44" i="44"/>
  <c r="J96" i="44"/>
  <c r="J95" i="44"/>
  <c r="J93" i="44"/>
  <c r="P273" i="44"/>
  <c r="O273" i="44"/>
  <c r="L273" i="44"/>
  <c r="P272" i="44"/>
  <c r="O272" i="44"/>
  <c r="L272" i="44"/>
  <c r="P271" i="44"/>
  <c r="O271" i="44"/>
  <c r="L271" i="44"/>
  <c r="P270" i="44"/>
  <c r="O270" i="44"/>
  <c r="L270" i="44"/>
  <c r="P269" i="44"/>
  <c r="O269" i="44"/>
  <c r="L269" i="44"/>
  <c r="P268" i="44"/>
  <c r="O268" i="44"/>
  <c r="L268" i="44"/>
  <c r="P267" i="44"/>
  <c r="O267" i="44"/>
  <c r="L267" i="44"/>
  <c r="P266" i="44"/>
  <c r="O266" i="44"/>
  <c r="L266" i="44"/>
  <c r="B113" i="44"/>
  <c r="B112" i="44"/>
  <c r="B111" i="44"/>
  <c r="B110" i="44"/>
  <c r="B109" i="44"/>
  <c r="B108" i="44"/>
  <c r="B107" i="44"/>
  <c r="B106" i="44"/>
  <c r="P27" i="44"/>
  <c r="M27" i="44"/>
  <c r="J27" i="44"/>
  <c r="G27" i="44"/>
  <c r="P26" i="44"/>
  <c r="M26" i="44"/>
  <c r="J26" i="44"/>
  <c r="G26" i="44"/>
  <c r="P25" i="44"/>
  <c r="M25" i="44"/>
  <c r="J25" i="44"/>
  <c r="G25" i="44"/>
  <c r="P24" i="44"/>
  <c r="M24" i="44"/>
  <c r="J24" i="44"/>
  <c r="G24" i="44"/>
  <c r="P23" i="44"/>
  <c r="M23" i="44"/>
  <c r="J23" i="44"/>
  <c r="G23" i="44"/>
  <c r="P22" i="44"/>
  <c r="M22" i="44"/>
  <c r="J22" i="44"/>
  <c r="G22" i="44"/>
  <c r="P21" i="44"/>
  <c r="M21" i="44"/>
  <c r="J21" i="44"/>
  <c r="G21" i="44"/>
  <c r="P20" i="44"/>
  <c r="M20" i="44"/>
  <c r="J20" i="44"/>
  <c r="G20" i="44"/>
  <c r="P19" i="44"/>
  <c r="M19" i="44"/>
  <c r="J19" i="44"/>
  <c r="G19" i="44"/>
  <c r="P18" i="44"/>
  <c r="M18" i="44"/>
  <c r="J18" i="44"/>
  <c r="G18" i="44"/>
  <c r="P17" i="44"/>
  <c r="M17" i="44"/>
  <c r="J17" i="44"/>
  <c r="G17" i="44"/>
  <c r="P16" i="44"/>
  <c r="M16" i="44"/>
  <c r="J16" i="44"/>
  <c r="G16" i="44"/>
  <c r="P15" i="44"/>
  <c r="M15" i="44"/>
  <c r="J15" i="44"/>
  <c r="G15" i="44"/>
  <c r="P14" i="44"/>
  <c r="M14" i="44"/>
  <c r="J14" i="44"/>
  <c r="G14" i="44"/>
  <c r="P13" i="44"/>
  <c r="M13" i="44"/>
  <c r="J13" i="44"/>
  <c r="G13" i="44"/>
  <c r="P12" i="44"/>
  <c r="M12" i="44"/>
  <c r="J12" i="44"/>
  <c r="G12" i="44"/>
  <c r="P11" i="44"/>
  <c r="M11" i="44"/>
  <c r="J11" i="44"/>
  <c r="G11" i="44"/>
  <c r="P10" i="44"/>
  <c r="M10" i="44"/>
  <c r="J10" i="44"/>
  <c r="G10" i="44"/>
  <c r="P9" i="44"/>
  <c r="M9" i="44"/>
  <c r="J9" i="44"/>
  <c r="G9" i="44"/>
  <c r="P8" i="44"/>
  <c r="M8" i="44"/>
  <c r="J8" i="44"/>
  <c r="G8" i="44"/>
  <c r="O90" i="40"/>
  <c r="O92" i="40"/>
  <c r="O94" i="40"/>
  <c r="O96" i="40"/>
  <c r="O100" i="40"/>
  <c r="O102" i="40"/>
  <c r="O114" i="40"/>
  <c r="N19" i="60" l="1"/>
  <c r="J101" i="44"/>
  <c r="V108" i="15"/>
  <c r="C107" i="44"/>
  <c r="N107" i="44"/>
  <c r="D107" i="44"/>
  <c r="E108" i="44"/>
  <c r="G108" i="44"/>
  <c r="M108" i="44"/>
  <c r="C108" i="44"/>
  <c r="D108" i="44"/>
  <c r="F108" i="44"/>
  <c r="H108" i="44"/>
  <c r="K267" i="44"/>
  <c r="G62" i="44"/>
  <c r="H62" i="44" s="1"/>
  <c r="G60" i="44"/>
  <c r="H60" i="44" s="1"/>
  <c r="K52" i="44"/>
  <c r="L52" i="44" s="1"/>
  <c r="L57" i="44" a="1"/>
  <c r="L57" i="44" s="1"/>
  <c r="K61" i="44" s="1"/>
  <c r="L61" i="44" s="1"/>
  <c r="K53" i="44"/>
  <c r="K51" i="44"/>
  <c r="L51" i="44" s="1"/>
  <c r="L53" i="44"/>
  <c r="K55" i="44"/>
  <c r="L55" i="44" s="1"/>
  <c r="K54" i="44"/>
  <c r="L54" i="44" s="1"/>
  <c r="G52" i="44"/>
  <c r="H52" i="44" s="1"/>
  <c r="G63" i="44"/>
  <c r="H63" i="44" s="1"/>
  <c r="G61" i="44"/>
  <c r="H61" i="44" s="1"/>
  <c r="G54" i="44"/>
  <c r="H54" i="44" s="1"/>
  <c r="G53" i="44"/>
  <c r="H53" i="44" s="1"/>
  <c r="J49" i="44"/>
  <c r="I51" i="44" s="1"/>
  <c r="J51" i="44" s="1"/>
  <c r="I266" i="44"/>
  <c r="K266" i="44"/>
  <c r="C267" i="44"/>
  <c r="I267" i="44"/>
  <c r="I60" i="44"/>
  <c r="J60" i="44" s="1"/>
  <c r="G71" i="44"/>
  <c r="K71" i="44"/>
  <c r="H71" i="44"/>
  <c r="L71" i="44"/>
  <c r="G89" i="44"/>
  <c r="I71" i="44"/>
  <c r="G68" i="44"/>
  <c r="G77" i="44" s="1"/>
  <c r="H68" i="44"/>
  <c r="H77" i="44" s="1"/>
  <c r="J71" i="44"/>
  <c r="K268" i="44"/>
  <c r="I268" i="44"/>
  <c r="J268" i="44"/>
  <c r="K269" i="44"/>
  <c r="I269" i="44"/>
  <c r="J269" i="44"/>
  <c r="K270" i="44"/>
  <c r="I270" i="44"/>
  <c r="J270" i="44"/>
  <c r="K271" i="44"/>
  <c r="I271" i="44"/>
  <c r="J271" i="44"/>
  <c r="J266" i="44"/>
  <c r="J267" i="44"/>
  <c r="I272" i="44"/>
  <c r="K272" i="44"/>
  <c r="I273" i="44"/>
  <c r="K273" i="44"/>
  <c r="J272" i="44"/>
  <c r="J273" i="44"/>
  <c r="L114" i="40"/>
  <c r="C131" i="41" s="1"/>
  <c r="L100" i="40"/>
  <c r="C124" i="41" s="1"/>
  <c r="C123" i="41"/>
  <c r="L94" i="40"/>
  <c r="C121" i="41" s="1"/>
  <c r="L90" i="40"/>
  <c r="C119" i="41" s="1"/>
  <c r="C117" i="41"/>
  <c r="C115" i="41"/>
  <c r="C113" i="41"/>
  <c r="L76" i="40"/>
  <c r="L42" i="40"/>
  <c r="C94" i="41" s="1"/>
  <c r="L36" i="40"/>
  <c r="C91" i="41" s="1"/>
  <c r="C87" i="41"/>
  <c r="C77" i="41"/>
  <c r="L162" i="40"/>
  <c r="C155" i="41" s="1"/>
  <c r="L154" i="40"/>
  <c r="C151" i="41" s="1"/>
  <c r="L152" i="40"/>
  <c r="C150" i="41" s="1"/>
  <c r="L149" i="40"/>
  <c r="L120" i="40"/>
  <c r="O120" i="40"/>
  <c r="L143" i="40"/>
  <c r="L141" i="40"/>
  <c r="L145" i="40" s="1"/>
  <c r="L131" i="40"/>
  <c r="H12" i="41" s="1"/>
  <c r="L129" i="40"/>
  <c r="H11" i="41" s="1"/>
  <c r="C149" i="41" l="1"/>
  <c r="L164" i="40"/>
  <c r="L133" i="40"/>
  <c r="C112" i="41"/>
  <c r="S110" i="15"/>
  <c r="T110" i="15" s="1"/>
  <c r="S112" i="15"/>
  <c r="T112" i="15" s="1"/>
  <c r="N8" i="41"/>
  <c r="K150" i="41"/>
  <c r="N7" i="41"/>
  <c r="K149" i="41"/>
  <c r="N9" i="41"/>
  <c r="K151" i="41"/>
  <c r="K155" i="41"/>
  <c r="N13" i="41"/>
  <c r="C146" i="41"/>
  <c r="K10" i="41"/>
  <c r="K9" i="41"/>
  <c r="C145" i="41"/>
  <c r="I140" i="41"/>
  <c r="C140" i="41"/>
  <c r="C139" i="41"/>
  <c r="H139" i="41"/>
  <c r="C135" i="41"/>
  <c r="J135" i="41"/>
  <c r="J141" i="41" s="1"/>
  <c r="G131" i="41"/>
  <c r="E27" i="41"/>
  <c r="E8" i="41"/>
  <c r="E11" i="41"/>
  <c r="E15" i="41"/>
  <c r="E19" i="41"/>
  <c r="E9" i="41"/>
  <c r="E13" i="41"/>
  <c r="E17" i="41"/>
  <c r="E20" i="41"/>
  <c r="D268" i="44"/>
  <c r="D267" i="44"/>
  <c r="M268" i="44"/>
  <c r="K141" i="41"/>
  <c r="F268" i="44"/>
  <c r="E268" i="44"/>
  <c r="H268" i="44"/>
  <c r="G268" i="44"/>
  <c r="N267" i="44"/>
  <c r="K59" i="44"/>
  <c r="L59" i="44" s="1"/>
  <c r="K60" i="44"/>
  <c r="L60" i="44" s="1"/>
  <c r="K63" i="44"/>
  <c r="L63" i="44" s="1"/>
  <c r="K62" i="44"/>
  <c r="L62" i="44" s="1"/>
  <c r="I52" i="44"/>
  <c r="J52" i="44" s="1"/>
  <c r="I55" i="44"/>
  <c r="J55" i="44" s="1"/>
  <c r="I59" i="44"/>
  <c r="J59" i="44" s="1"/>
  <c r="J69" i="44" s="1"/>
  <c r="I63" i="44"/>
  <c r="J63" i="44" s="1"/>
  <c r="I62" i="44"/>
  <c r="J62" i="44" s="1"/>
  <c r="I54" i="44"/>
  <c r="J54" i="44" s="1"/>
  <c r="I53" i="44"/>
  <c r="J53" i="44" s="1"/>
  <c r="I61" i="44"/>
  <c r="J61" i="44" s="1"/>
  <c r="I68" i="44"/>
  <c r="I77" i="44" s="1"/>
  <c r="K68" i="44"/>
  <c r="K77" i="44" s="1"/>
  <c r="L68" i="44"/>
  <c r="L77" i="44" s="1"/>
  <c r="J68" i="44"/>
  <c r="J77" i="44" s="1"/>
  <c r="K78" i="44"/>
  <c r="L78" i="44"/>
  <c r="I78" i="44"/>
  <c r="J78" i="44"/>
  <c r="G78" i="44"/>
  <c r="H78" i="44"/>
  <c r="G80" i="44"/>
  <c r="H80" i="44"/>
  <c r="I80" i="44"/>
  <c r="J80" i="44"/>
  <c r="C268" i="44"/>
  <c r="K80" i="44"/>
  <c r="L80" i="44"/>
  <c r="B24" i="41"/>
  <c r="B21" i="41"/>
  <c r="B17" i="41"/>
  <c r="L10" i="40"/>
  <c r="L12" i="40"/>
  <c r="C79" i="41" s="1"/>
  <c r="L14" i="40"/>
  <c r="C80" i="41" s="1"/>
  <c r="L16" i="40"/>
  <c r="C81" i="41" s="1"/>
  <c r="C82" i="41"/>
  <c r="L20" i="40"/>
  <c r="C83" i="41" s="1"/>
  <c r="L30" i="40"/>
  <c r="C88" i="41" s="1"/>
  <c r="C92" i="41"/>
  <c r="C114" i="41"/>
  <c r="C116" i="41"/>
  <c r="C118" i="41"/>
  <c r="L92" i="40"/>
  <c r="L96" i="40"/>
  <c r="C122" i="41" s="1"/>
  <c r="L102" i="40"/>
  <c r="C125" i="41" s="1"/>
  <c r="E7" i="41"/>
  <c r="B7" i="41"/>
  <c r="H7" i="41"/>
  <c r="L22" i="40"/>
  <c r="C84" i="41" s="1"/>
  <c r="L24" i="40"/>
  <c r="L26" i="40"/>
  <c r="C86" i="41" s="1"/>
  <c r="L32" i="40"/>
  <c r="C89" i="41" s="1"/>
  <c r="L34" i="40"/>
  <c r="C90" i="41" s="1"/>
  <c r="L40" i="40"/>
  <c r="C120" i="41" l="1"/>
  <c r="L116" i="40"/>
  <c r="L70" i="40"/>
  <c r="C78" i="41"/>
  <c r="H357" i="40"/>
  <c r="N25" i="60" s="1"/>
  <c r="P25" i="60" s="1"/>
  <c r="F25" i="60" s="1"/>
  <c r="N71" i="41"/>
  <c r="K156" i="41"/>
  <c r="K239" i="41" s="1"/>
  <c r="K71" i="41"/>
  <c r="C147" i="41"/>
  <c r="H71" i="41"/>
  <c r="B23" i="41"/>
  <c r="C93" i="41"/>
  <c r="B15" i="41"/>
  <c r="C85" i="41"/>
  <c r="E21" i="41"/>
  <c r="E16" i="41"/>
  <c r="E12" i="41"/>
  <c r="E18" i="41"/>
  <c r="E14" i="41"/>
  <c r="E10" i="41"/>
  <c r="G156" i="41"/>
  <c r="C156" i="41"/>
  <c r="F156" i="41"/>
  <c r="I156" i="41"/>
  <c r="E156" i="41"/>
  <c r="H156" i="41"/>
  <c r="D156" i="41"/>
  <c r="I141" i="41"/>
  <c r="H141" i="41"/>
  <c r="E141" i="41"/>
  <c r="D141" i="41"/>
  <c r="F141" i="41"/>
  <c r="G141" i="41"/>
  <c r="C141" i="41"/>
  <c r="G69" i="44"/>
  <c r="G70" i="44" s="1"/>
  <c r="G79" i="44" s="1"/>
  <c r="H82" i="44" s="1"/>
  <c r="H89" i="44" s="1"/>
  <c r="H69" i="44"/>
  <c r="H70" i="44" s="1"/>
  <c r="H79" i="44" s="1"/>
  <c r="H86" i="44" s="1"/>
  <c r="J70" i="44"/>
  <c r="J79" i="44" s="1"/>
  <c r="J86" i="44" s="1"/>
  <c r="I69" i="44"/>
  <c r="I70" i="44" s="1"/>
  <c r="I79" i="44" s="1"/>
  <c r="J82" i="44" s="1"/>
  <c r="K69" i="44"/>
  <c r="K70" i="44" s="1"/>
  <c r="K79" i="44" s="1"/>
  <c r="L82" i="44" s="1"/>
  <c r="L89" i="44" s="1"/>
  <c r="L69" i="44"/>
  <c r="L70" i="44" s="1"/>
  <c r="L79" i="44" s="1"/>
  <c r="L86" i="44" s="1"/>
  <c r="B20" i="41"/>
  <c r="B16" i="41"/>
  <c r="B14" i="41"/>
  <c r="B19" i="41"/>
  <c r="G132" i="41"/>
  <c r="F132" i="41"/>
  <c r="J132" i="41"/>
  <c r="J239" i="41" s="1"/>
  <c r="B18" i="41"/>
  <c r="B12" i="41"/>
  <c r="B10" i="41"/>
  <c r="B8" i="41"/>
  <c r="E132" i="41"/>
  <c r="I132" i="41"/>
  <c r="H132" i="41"/>
  <c r="D132" i="41"/>
  <c r="B22" i="41"/>
  <c r="B13" i="41"/>
  <c r="B11" i="41"/>
  <c r="B9" i="41"/>
  <c r="O162" i="40"/>
  <c r="Z164" i="40"/>
  <c r="O154" i="40"/>
  <c r="O152" i="40"/>
  <c r="Z154" i="40"/>
  <c r="O149" i="40"/>
  <c r="Z147" i="40"/>
  <c r="Z173" i="40" s="1"/>
  <c r="O143" i="40"/>
  <c r="Z144" i="40"/>
  <c r="O141" i="40"/>
  <c r="O131" i="40"/>
  <c r="Z133" i="40"/>
  <c r="O129" i="40"/>
  <c r="O42" i="40"/>
  <c r="O40" i="40"/>
  <c r="O36" i="40"/>
  <c r="O34" i="40"/>
  <c r="O32" i="40"/>
  <c r="O30" i="40"/>
  <c r="O26" i="40"/>
  <c r="O24" i="40"/>
  <c r="O22" i="40"/>
  <c r="O20" i="40"/>
  <c r="O16" i="40"/>
  <c r="O14" i="40"/>
  <c r="O12" i="40"/>
  <c r="O10" i="40"/>
  <c r="B1" i="40"/>
  <c r="B353" i="40" s="1"/>
  <c r="B71" i="41" l="1"/>
  <c r="O351" i="40"/>
  <c r="D239" i="41"/>
  <c r="C240" i="41" s="1"/>
  <c r="G239" i="41"/>
  <c r="C243" i="41" s="1"/>
  <c r="E239" i="41"/>
  <c r="C241" i="41" s="1"/>
  <c r="F239" i="41"/>
  <c r="C242" i="41" s="1"/>
  <c r="H239" i="41"/>
  <c r="C244" i="41" s="1"/>
  <c r="I239" i="41"/>
  <c r="C245" i="41" s="1"/>
  <c r="H360" i="40"/>
  <c r="H363" i="40" s="1"/>
  <c r="C247" i="41"/>
  <c r="C106" i="41"/>
  <c r="B376" i="40"/>
  <c r="B365" i="40"/>
  <c r="E71" i="41"/>
  <c r="C132" i="41"/>
  <c r="L83" i="44"/>
  <c r="L84" i="44"/>
  <c r="L85" i="44"/>
  <c r="H84" i="44"/>
  <c r="H83" i="44"/>
  <c r="H85" i="44"/>
  <c r="J85" i="44"/>
  <c r="J84" i="44"/>
  <c r="J83" i="44"/>
  <c r="J89" i="44"/>
  <c r="C246" i="41"/>
  <c r="C387" i="40" s="1"/>
  <c r="T387" i="40" s="1"/>
  <c r="Z153" i="40"/>
  <c r="B4" i="40"/>
  <c r="Z71" i="41" l="1"/>
  <c r="T124" i="15"/>
  <c r="S126" i="15"/>
  <c r="T126" i="15" s="1"/>
  <c r="S127" i="15" s="1"/>
  <c r="V115" i="15"/>
  <c r="S65" i="15"/>
  <c r="H368" i="40"/>
  <c r="H371" i="40" s="1"/>
  <c r="H374" i="40" s="1"/>
  <c r="C239" i="41"/>
  <c r="C380" i="40" s="1"/>
  <c r="Z179" i="40"/>
  <c r="Z175" i="40"/>
  <c r="Z177" i="40"/>
  <c r="C388" i="40"/>
  <c r="C386" i="40"/>
  <c r="C384" i="40"/>
  <c r="C382" i="40"/>
  <c r="C385" i="40"/>
  <c r="C383" i="40"/>
  <c r="C381" i="40"/>
  <c r="E107" i="44"/>
  <c r="T111" i="46"/>
  <c r="T109" i="46"/>
  <c r="T107" i="46"/>
  <c r="T105" i="46"/>
  <c r="T112" i="46"/>
  <c r="T110" i="46"/>
  <c r="T108" i="46"/>
  <c r="T106" i="46"/>
  <c r="V269" i="8"/>
  <c r="V266" i="8"/>
  <c r="V263" i="8"/>
  <c r="V259" i="8"/>
  <c r="V256" i="8"/>
  <c r="V251" i="8"/>
  <c r="V248" i="8"/>
  <c r="V245" i="8"/>
  <c r="V240" i="8"/>
  <c r="V237" i="8"/>
  <c r="V230" i="8"/>
  <c r="V227" i="8"/>
  <c r="V224" i="8"/>
  <c r="V215" i="8"/>
  <c r="V213" i="8"/>
  <c r="V210" i="8"/>
  <c r="V207" i="8"/>
  <c r="V204" i="8"/>
  <c r="V201" i="8"/>
  <c r="V198" i="8"/>
  <c r="V193" i="8"/>
  <c r="V182" i="8"/>
  <c r="V179" i="8"/>
  <c r="V178" i="8"/>
  <c r="V175" i="8"/>
  <c r="V172" i="8"/>
  <c r="V166" i="8"/>
  <c r="V162" i="8"/>
  <c r="V156" i="8"/>
  <c r="V149" i="8"/>
  <c r="V143" i="8"/>
  <c r="V139" i="8"/>
  <c r="V136" i="8"/>
  <c r="V126" i="8"/>
  <c r="V123" i="8"/>
  <c r="V120" i="8"/>
  <c r="V117" i="8"/>
  <c r="V114" i="8"/>
  <c r="V113" i="8"/>
  <c r="V112" i="8"/>
  <c r="V111" i="8"/>
  <c r="V109" i="8"/>
  <c r="V107" i="8"/>
  <c r="V105" i="8"/>
  <c r="V94" i="8"/>
  <c r="V95" i="8"/>
  <c r="V93" i="8"/>
  <c r="V91" i="8"/>
  <c r="V88" i="8"/>
  <c r="V87" i="8"/>
  <c r="V85" i="8"/>
  <c r="V84" i="8"/>
  <c r="V82" i="8"/>
  <c r="V77" i="8"/>
  <c r="V75" i="8"/>
  <c r="V71" i="8"/>
  <c r="V68" i="8"/>
  <c r="V67" i="8"/>
  <c r="V66" i="8"/>
  <c r="V65" i="8"/>
  <c r="L262" i="8"/>
  <c r="J124" i="7" s="1"/>
  <c r="J121" i="7"/>
  <c r="L76" i="8"/>
  <c r="S125" i="15" l="1"/>
  <c r="W117" i="15"/>
  <c r="X117" i="15" s="1"/>
  <c r="A1" i="46" s="1"/>
  <c r="E267" i="44"/>
  <c r="C109" i="54"/>
  <c r="C111" i="54"/>
  <c r="C113" i="54"/>
  <c r="C110" i="54"/>
  <c r="C112" i="54"/>
  <c r="C114" i="54"/>
  <c r="D109" i="54"/>
  <c r="D113" i="54"/>
  <c r="D110" i="54"/>
  <c r="D112" i="54"/>
  <c r="D114" i="54"/>
  <c r="D111" i="54"/>
  <c r="D114" i="44"/>
  <c r="D109" i="44"/>
  <c r="D111" i="44"/>
  <c r="D110" i="44"/>
  <c r="D112" i="44"/>
  <c r="C114" i="44"/>
  <c r="C109" i="44"/>
  <c r="C111" i="44"/>
  <c r="C110" i="44"/>
  <c r="C112" i="44"/>
  <c r="E114" i="44"/>
  <c r="E109" i="44"/>
  <c r="E111" i="44"/>
  <c r="E110" i="44"/>
  <c r="E112" i="44"/>
  <c r="R42" i="8"/>
  <c r="V99" i="15"/>
  <c r="L94" i="56"/>
  <c r="D266" i="56"/>
  <c r="H93" i="54"/>
  <c r="C106" i="54"/>
  <c r="D106" i="54"/>
  <c r="H94" i="54"/>
  <c r="L94" i="54" s="1"/>
  <c r="C106" i="44"/>
  <c r="C266" i="44" s="1"/>
  <c r="E113" i="44"/>
  <c r="E106" i="44"/>
  <c r="D113" i="44"/>
  <c r="D106" i="44"/>
  <c r="H93" i="44"/>
  <c r="C113" i="44"/>
  <c r="H95" i="44"/>
  <c r="L95" i="44" s="1"/>
  <c r="H94" i="44"/>
  <c r="L94" i="44" s="1"/>
  <c r="H107" i="44"/>
  <c r="H96" i="46"/>
  <c r="H99" i="46" s="1"/>
  <c r="E122" i="18"/>
  <c r="E121" i="18"/>
  <c r="E120" i="18"/>
  <c r="E119" i="18"/>
  <c r="E118" i="18"/>
  <c r="E117" i="18"/>
  <c r="E116" i="18"/>
  <c r="E115" i="18"/>
  <c r="E114" i="18"/>
  <c r="E113" i="18"/>
  <c r="E112" i="18"/>
  <c r="E111" i="18"/>
  <c r="E110" i="18"/>
  <c r="E109" i="18"/>
  <c r="E122" i="14"/>
  <c r="E121" i="14"/>
  <c r="E120" i="14"/>
  <c r="E119" i="14"/>
  <c r="E112" i="14"/>
  <c r="E111" i="14"/>
  <c r="E110" i="14"/>
  <c r="E118" i="36"/>
  <c r="E117" i="36"/>
  <c r="E116" i="36"/>
  <c r="E115" i="36"/>
  <c r="E114" i="36"/>
  <c r="E113" i="36"/>
  <c r="E121" i="36"/>
  <c r="E120" i="36"/>
  <c r="E119" i="36"/>
  <c r="E112" i="36"/>
  <c r="E111" i="36"/>
  <c r="E110" i="36"/>
  <c r="E109" i="36"/>
  <c r="E122" i="21"/>
  <c r="E120" i="21"/>
  <c r="E119" i="21"/>
  <c r="E118" i="21"/>
  <c r="E117" i="21"/>
  <c r="E116" i="21"/>
  <c r="E115" i="21"/>
  <c r="E114" i="21"/>
  <c r="E113" i="21"/>
  <c r="E112" i="21"/>
  <c r="E111" i="21"/>
  <c r="E110" i="21"/>
  <c r="E109" i="21"/>
  <c r="E121" i="21"/>
  <c r="E122" i="24"/>
  <c r="E121" i="24"/>
  <c r="E120" i="24"/>
  <c r="E119" i="24"/>
  <c r="E118" i="24"/>
  <c r="E117" i="24"/>
  <c r="E116" i="24"/>
  <c r="E115" i="24"/>
  <c r="E114" i="24"/>
  <c r="E113" i="24"/>
  <c r="E112" i="24"/>
  <c r="E111" i="24"/>
  <c r="E110" i="24"/>
  <c r="E109" i="24"/>
  <c r="E117" i="30"/>
  <c r="E113" i="30"/>
  <c r="E114" i="30"/>
  <c r="E117" i="32"/>
  <c r="E114" i="32"/>
  <c r="E125" i="24" l="1"/>
  <c r="N15" i="60"/>
  <c r="N12" i="60"/>
  <c r="N11" i="60"/>
  <c r="N18" i="60"/>
  <c r="H267" i="44"/>
  <c r="D271" i="54"/>
  <c r="D272" i="54"/>
  <c r="D273" i="54"/>
  <c r="C270" i="54"/>
  <c r="C271" i="54"/>
  <c r="D270" i="54"/>
  <c r="D269" i="54"/>
  <c r="C272" i="54"/>
  <c r="C273" i="54"/>
  <c r="C269" i="54"/>
  <c r="E270" i="44"/>
  <c r="E269" i="44"/>
  <c r="C272" i="44"/>
  <c r="C271" i="44"/>
  <c r="D270" i="44"/>
  <c r="D269" i="44"/>
  <c r="H114" i="44"/>
  <c r="H109" i="44"/>
  <c r="H111" i="44"/>
  <c r="H110" i="44"/>
  <c r="H112" i="44"/>
  <c r="E272" i="44"/>
  <c r="E271" i="44"/>
  <c r="C270" i="44"/>
  <c r="C269" i="44"/>
  <c r="D272" i="44"/>
  <c r="D271" i="44"/>
  <c r="V104" i="15"/>
  <c r="W99" i="15"/>
  <c r="E125" i="21"/>
  <c r="L93" i="44"/>
  <c r="C266" i="56"/>
  <c r="L93" i="56"/>
  <c r="D266" i="54"/>
  <c r="L93" i="54"/>
  <c r="C266" i="54"/>
  <c r="E107" i="54"/>
  <c r="H113" i="44"/>
  <c r="H273" i="44" s="1"/>
  <c r="D273" i="44"/>
  <c r="E273" i="44"/>
  <c r="E266" i="44"/>
  <c r="D266" i="44"/>
  <c r="E122" i="36"/>
  <c r="C273" i="44"/>
  <c r="H106" i="44"/>
  <c r="F107" i="44"/>
  <c r="H96" i="44"/>
  <c r="L96" i="44" s="1"/>
  <c r="H98" i="44"/>
  <c r="L98" i="44" s="1"/>
  <c r="G107" i="44"/>
  <c r="E113" i="32"/>
  <c r="E125" i="32"/>
  <c r="M107" i="44" l="1"/>
  <c r="H99" i="44"/>
  <c r="N108" i="44"/>
  <c r="H100" i="44"/>
  <c r="N14" i="60"/>
  <c r="N13" i="60"/>
  <c r="M267" i="44"/>
  <c r="G267" i="44"/>
  <c r="N268" i="44"/>
  <c r="Q108" i="44"/>
  <c r="F267" i="44"/>
  <c r="Q107" i="44"/>
  <c r="E267" i="54"/>
  <c r="E110" i="54"/>
  <c r="E113" i="54"/>
  <c r="E112" i="54"/>
  <c r="E114" i="54"/>
  <c r="E109" i="54"/>
  <c r="E111" i="54"/>
  <c r="N114" i="44"/>
  <c r="N109" i="44"/>
  <c r="N111" i="44"/>
  <c r="N110" i="44"/>
  <c r="N112" i="44"/>
  <c r="H269" i="44"/>
  <c r="M114" i="44"/>
  <c r="M109" i="44"/>
  <c r="M111" i="44"/>
  <c r="M110" i="44"/>
  <c r="M112" i="44"/>
  <c r="H270" i="44"/>
  <c r="G114" i="44"/>
  <c r="G109" i="44"/>
  <c r="G111" i="44"/>
  <c r="G110" i="44"/>
  <c r="G112" i="44"/>
  <c r="F114" i="44"/>
  <c r="F109" i="44"/>
  <c r="F111" i="44"/>
  <c r="F110" i="44"/>
  <c r="F112" i="44"/>
  <c r="H272" i="44"/>
  <c r="H271" i="44"/>
  <c r="X99" i="15"/>
  <c r="A1" i="8" s="1"/>
  <c r="G10" i="60" s="1"/>
  <c r="H95" i="54"/>
  <c r="E106" i="54"/>
  <c r="F107" i="54"/>
  <c r="M108" i="54"/>
  <c r="N108" i="54"/>
  <c r="G107" i="54"/>
  <c r="H107" i="54"/>
  <c r="G113" i="44"/>
  <c r="G273" i="44" s="1"/>
  <c r="G106" i="44"/>
  <c r="N113" i="44"/>
  <c r="N106" i="44"/>
  <c r="F113" i="44"/>
  <c r="F106" i="44"/>
  <c r="M106" i="44"/>
  <c r="M266" i="44" s="1"/>
  <c r="M113" i="44"/>
  <c r="H266" i="44"/>
  <c r="H97" i="44"/>
  <c r="H101" i="44" s="1"/>
  <c r="L99" i="44"/>
  <c r="H267" i="54" l="1"/>
  <c r="G267" i="54"/>
  <c r="N268" i="54"/>
  <c r="M268" i="54"/>
  <c r="Q108" i="54"/>
  <c r="F267" i="54"/>
  <c r="Q107" i="54"/>
  <c r="G112" i="54"/>
  <c r="G114" i="54"/>
  <c r="G109" i="54"/>
  <c r="G111" i="54"/>
  <c r="G110" i="54"/>
  <c r="G113" i="54"/>
  <c r="M110" i="54"/>
  <c r="M112" i="54"/>
  <c r="M114" i="54"/>
  <c r="M109" i="54"/>
  <c r="M111" i="54"/>
  <c r="M113" i="54"/>
  <c r="E269" i="54"/>
  <c r="E272" i="54"/>
  <c r="E270" i="54"/>
  <c r="H111" i="54"/>
  <c r="H113" i="54"/>
  <c r="H110" i="54"/>
  <c r="H112" i="54"/>
  <c r="H114" i="54"/>
  <c r="H109" i="54"/>
  <c r="N110" i="54"/>
  <c r="N112" i="54"/>
  <c r="N114" i="54"/>
  <c r="N109" i="54"/>
  <c r="N111" i="54"/>
  <c r="N113" i="54"/>
  <c r="F110" i="54"/>
  <c r="F112" i="54"/>
  <c r="Q112" i="54" s="1"/>
  <c r="F114" i="54"/>
  <c r="F109" i="54"/>
  <c r="F111" i="54"/>
  <c r="F113" i="54"/>
  <c r="E271" i="54"/>
  <c r="Q111" i="54"/>
  <c r="Q114" i="54"/>
  <c r="E273" i="54"/>
  <c r="F272" i="44"/>
  <c r="Q112" i="44"/>
  <c r="F271" i="44"/>
  <c r="Q111" i="44"/>
  <c r="Q114" i="44"/>
  <c r="G270" i="44"/>
  <c r="G269" i="44"/>
  <c r="M272" i="44"/>
  <c r="M271" i="44"/>
  <c r="N270" i="44"/>
  <c r="N269" i="44"/>
  <c r="F270" i="44"/>
  <c r="Q110" i="44"/>
  <c r="F269" i="44"/>
  <c r="Q109" i="44"/>
  <c r="G272" i="44"/>
  <c r="G271" i="44"/>
  <c r="M270" i="44"/>
  <c r="M269" i="44"/>
  <c r="N272" i="44"/>
  <c r="N271" i="44"/>
  <c r="N266" i="56"/>
  <c r="L96" i="56"/>
  <c r="F266" i="56"/>
  <c r="L95" i="56"/>
  <c r="H266" i="56"/>
  <c r="L98" i="56"/>
  <c r="L97" i="56"/>
  <c r="G266" i="56"/>
  <c r="L99" i="56"/>
  <c r="M266" i="56"/>
  <c r="E266" i="56"/>
  <c r="H97" i="54"/>
  <c r="L97" i="54" s="1"/>
  <c r="G106" i="54"/>
  <c r="H99" i="54"/>
  <c r="L99" i="54" s="1"/>
  <c r="M106" i="54"/>
  <c r="H106" i="54"/>
  <c r="H98" i="54"/>
  <c r="L98" i="54" s="1"/>
  <c r="N106" i="54"/>
  <c r="H100" i="54"/>
  <c r="F106" i="54"/>
  <c r="H96" i="54"/>
  <c r="L96" i="54" s="1"/>
  <c r="L95" i="54"/>
  <c r="E266" i="54"/>
  <c r="Q106" i="44"/>
  <c r="F273" i="44"/>
  <c r="M273" i="44"/>
  <c r="N266" i="44"/>
  <c r="F266" i="44"/>
  <c r="G266" i="44"/>
  <c r="L97" i="44"/>
  <c r="N273" i="44"/>
  <c r="Q113" i="44"/>
  <c r="E110" i="32"/>
  <c r="J120" i="38"/>
  <c r="J119" i="38"/>
  <c r="J118" i="38"/>
  <c r="J117" i="38"/>
  <c r="J116" i="38"/>
  <c r="J115" i="38"/>
  <c r="J114" i="38"/>
  <c r="J121" i="38"/>
  <c r="J112" i="38"/>
  <c r="J113" i="38"/>
  <c r="G63" i="38"/>
  <c r="G62" i="38"/>
  <c r="K58" i="38"/>
  <c r="I58" i="38"/>
  <c r="G58" i="38"/>
  <c r="H76" i="38" s="1" a="1"/>
  <c r="H76" i="38" s="1"/>
  <c r="G27" i="38"/>
  <c r="B134" i="38"/>
  <c r="B133" i="38"/>
  <c r="B132" i="38"/>
  <c r="B131" i="38"/>
  <c r="B130" i="38"/>
  <c r="B129" i="38"/>
  <c r="B128" i="38"/>
  <c r="B127" i="38"/>
  <c r="P27" i="38"/>
  <c r="M27" i="38"/>
  <c r="J27" i="38"/>
  <c r="P26" i="38"/>
  <c r="M26" i="38"/>
  <c r="J26" i="38"/>
  <c r="G26" i="38"/>
  <c r="P25" i="38"/>
  <c r="M25" i="38"/>
  <c r="J25" i="38"/>
  <c r="G25" i="38"/>
  <c r="P24" i="38"/>
  <c r="M24" i="38"/>
  <c r="J24" i="38"/>
  <c r="G24" i="38"/>
  <c r="P23" i="38"/>
  <c r="M23" i="38"/>
  <c r="J23" i="38"/>
  <c r="G23" i="38"/>
  <c r="P22" i="38"/>
  <c r="M22" i="38"/>
  <c r="J22" i="38"/>
  <c r="G22" i="38"/>
  <c r="P21" i="38"/>
  <c r="M21" i="38"/>
  <c r="J21" i="38"/>
  <c r="G21" i="38"/>
  <c r="P20" i="38"/>
  <c r="M20" i="38"/>
  <c r="J20" i="38"/>
  <c r="G20" i="38"/>
  <c r="P19" i="38"/>
  <c r="M19" i="38"/>
  <c r="J19" i="38"/>
  <c r="G19" i="38"/>
  <c r="P18" i="38"/>
  <c r="M18" i="38"/>
  <c r="J18" i="38"/>
  <c r="G18" i="38"/>
  <c r="P17" i="38"/>
  <c r="M17" i="38"/>
  <c r="J17" i="38"/>
  <c r="G17" i="38"/>
  <c r="P16" i="38"/>
  <c r="M16" i="38"/>
  <c r="J16" i="38"/>
  <c r="G16" i="38"/>
  <c r="P15" i="38"/>
  <c r="M15" i="38"/>
  <c r="J15" i="38"/>
  <c r="G15" i="38"/>
  <c r="P14" i="38"/>
  <c r="M14" i="38"/>
  <c r="J14" i="38"/>
  <c r="G14" i="38"/>
  <c r="P13" i="38"/>
  <c r="M13" i="38"/>
  <c r="J13" i="38"/>
  <c r="G13" i="38"/>
  <c r="P12" i="38"/>
  <c r="M12" i="38"/>
  <c r="J12" i="38"/>
  <c r="G12" i="38"/>
  <c r="P11" i="38"/>
  <c r="M11" i="38"/>
  <c r="J11" i="38"/>
  <c r="G11" i="38"/>
  <c r="P10" i="38"/>
  <c r="M10" i="38"/>
  <c r="J10" i="38"/>
  <c r="G10" i="38"/>
  <c r="P9" i="38"/>
  <c r="M9" i="38"/>
  <c r="J9" i="38"/>
  <c r="G9" i="38"/>
  <c r="P8" i="38"/>
  <c r="M8" i="38"/>
  <c r="J8" i="38"/>
  <c r="G8" i="38"/>
  <c r="J122" i="33"/>
  <c r="J119" i="33"/>
  <c r="J121" i="33"/>
  <c r="J120" i="33"/>
  <c r="J118" i="33"/>
  <c r="J117" i="33"/>
  <c r="J116" i="33"/>
  <c r="J115" i="33"/>
  <c r="G63" i="33"/>
  <c r="G62" i="33"/>
  <c r="G108" i="33" s="1"/>
  <c r="K58" i="33"/>
  <c r="L76" i="33" s="1" a="1"/>
  <c r="L76" i="33" s="1"/>
  <c r="J113" i="33"/>
  <c r="G65" i="36"/>
  <c r="G64" i="36"/>
  <c r="K62" i="36"/>
  <c r="I62" i="36"/>
  <c r="G62" i="36"/>
  <c r="B142" i="36"/>
  <c r="B141" i="36"/>
  <c r="B140" i="36"/>
  <c r="B139" i="36"/>
  <c r="B138" i="36"/>
  <c r="B137" i="36"/>
  <c r="B136" i="36"/>
  <c r="B135" i="36"/>
  <c r="K62" i="32"/>
  <c r="I62" i="32"/>
  <c r="G65" i="32"/>
  <c r="G64" i="32"/>
  <c r="G62" i="32"/>
  <c r="E118" i="32"/>
  <c r="E116" i="32"/>
  <c r="E115" i="32"/>
  <c r="J123" i="33"/>
  <c r="J114" i="33"/>
  <c r="J112" i="33"/>
  <c r="P9" i="33"/>
  <c r="P10" i="33"/>
  <c r="P11" i="33"/>
  <c r="P12" i="33"/>
  <c r="P13" i="33"/>
  <c r="P14" i="33"/>
  <c r="P15" i="33"/>
  <c r="P16" i="33"/>
  <c r="P17" i="33"/>
  <c r="P18" i="33"/>
  <c r="P19" i="33"/>
  <c r="P20" i="33"/>
  <c r="P21" i="33"/>
  <c r="P22" i="33"/>
  <c r="P23" i="33"/>
  <c r="P24" i="33"/>
  <c r="P25" i="33"/>
  <c r="P26" i="33"/>
  <c r="P27" i="33"/>
  <c r="P8" i="33"/>
  <c r="M9" i="33"/>
  <c r="M10" i="33"/>
  <c r="M11" i="33"/>
  <c r="M12" i="33"/>
  <c r="M13" i="33"/>
  <c r="M14" i="33"/>
  <c r="M15" i="33"/>
  <c r="M16" i="33"/>
  <c r="M17" i="33"/>
  <c r="M18" i="33"/>
  <c r="M19" i="33"/>
  <c r="M20" i="33"/>
  <c r="M21" i="33"/>
  <c r="M22" i="33"/>
  <c r="M23" i="33"/>
  <c r="M24" i="33"/>
  <c r="M25" i="33"/>
  <c r="M26" i="33"/>
  <c r="M27" i="33"/>
  <c r="M8" i="33"/>
  <c r="J9" i="33"/>
  <c r="J10" i="33"/>
  <c r="J11" i="33"/>
  <c r="J12" i="33"/>
  <c r="J13" i="33"/>
  <c r="J14" i="33"/>
  <c r="J15" i="33"/>
  <c r="J16" i="33"/>
  <c r="J17" i="33"/>
  <c r="J18" i="33"/>
  <c r="J19" i="33"/>
  <c r="J20" i="33"/>
  <c r="J21" i="33"/>
  <c r="J22" i="33"/>
  <c r="J23" i="33"/>
  <c r="J24" i="33"/>
  <c r="J25" i="33"/>
  <c r="J26" i="33"/>
  <c r="J27" i="33"/>
  <c r="J8" i="33"/>
  <c r="G9" i="33"/>
  <c r="G10" i="33"/>
  <c r="G11" i="33"/>
  <c r="G12" i="33"/>
  <c r="G13" i="33"/>
  <c r="G14" i="33"/>
  <c r="G15" i="33"/>
  <c r="G16" i="33"/>
  <c r="G17" i="33"/>
  <c r="G18" i="33"/>
  <c r="G19" i="33"/>
  <c r="G20" i="33"/>
  <c r="G21" i="33"/>
  <c r="G22" i="33"/>
  <c r="G23" i="33"/>
  <c r="G24" i="33"/>
  <c r="G25" i="33"/>
  <c r="G26" i="33"/>
  <c r="G27" i="33"/>
  <c r="G8" i="33"/>
  <c r="B138" i="33"/>
  <c r="B137" i="33"/>
  <c r="B136" i="33"/>
  <c r="B135" i="33"/>
  <c r="B134" i="33"/>
  <c r="B133" i="33"/>
  <c r="B132" i="33"/>
  <c r="B131" i="33"/>
  <c r="B142" i="32"/>
  <c r="B141" i="32"/>
  <c r="B140" i="32"/>
  <c r="B139" i="32"/>
  <c r="B138" i="32"/>
  <c r="B137" i="32"/>
  <c r="B136" i="32"/>
  <c r="B135" i="32"/>
  <c r="L88" i="32"/>
  <c r="E121" i="32"/>
  <c r="E120" i="32"/>
  <c r="E119" i="32"/>
  <c r="E112" i="32"/>
  <c r="E111" i="32"/>
  <c r="E109" i="32"/>
  <c r="E118" i="30"/>
  <c r="E116" i="30"/>
  <c r="E115" i="30"/>
  <c r="G65" i="30"/>
  <c r="G64" i="30"/>
  <c r="K62" i="30"/>
  <c r="I62" i="30"/>
  <c r="G62" i="30"/>
  <c r="B142" i="30"/>
  <c r="B141" i="30"/>
  <c r="B140" i="30"/>
  <c r="B139" i="30"/>
  <c r="B138" i="30"/>
  <c r="B137" i="30"/>
  <c r="B136" i="30"/>
  <c r="B135" i="30"/>
  <c r="L88" i="30"/>
  <c r="E122" i="30"/>
  <c r="E120" i="30"/>
  <c r="E112" i="30"/>
  <c r="E111" i="30"/>
  <c r="E109" i="30"/>
  <c r="S102" i="15"/>
  <c r="T102" i="15" s="1"/>
  <c r="G65" i="24"/>
  <c r="G64" i="24"/>
  <c r="K62" i="24"/>
  <c r="I62" i="24"/>
  <c r="G62" i="24"/>
  <c r="S100" i="15"/>
  <c r="B142" i="24"/>
  <c r="B141" i="24"/>
  <c r="B140" i="24"/>
  <c r="B139" i="24"/>
  <c r="B138" i="24"/>
  <c r="B137" i="24"/>
  <c r="B136" i="24"/>
  <c r="B135" i="24"/>
  <c r="L88" i="24"/>
  <c r="G65" i="21"/>
  <c r="G64" i="21"/>
  <c r="I105" i="21" s="1"/>
  <c r="K62" i="21"/>
  <c r="I62" i="21"/>
  <c r="G62" i="21"/>
  <c r="B142" i="21"/>
  <c r="B141" i="21"/>
  <c r="B140" i="21"/>
  <c r="B139" i="21"/>
  <c r="B138" i="21"/>
  <c r="B137" i="21"/>
  <c r="B136" i="21"/>
  <c r="B135" i="21"/>
  <c r="L101" i="8"/>
  <c r="G115" i="15"/>
  <c r="D131" i="14"/>
  <c r="L129" i="8"/>
  <c r="B138" i="14"/>
  <c r="G65" i="18"/>
  <c r="G64" i="18"/>
  <c r="H88" i="18" s="1"/>
  <c r="K62" i="18"/>
  <c r="I62" i="18"/>
  <c r="G62" i="18"/>
  <c r="H76" i="18" s="1"/>
  <c r="G78" i="18" s="1"/>
  <c r="B142" i="18"/>
  <c r="B141" i="18"/>
  <c r="B140" i="18"/>
  <c r="B139" i="18"/>
  <c r="B138" i="18"/>
  <c r="B137" i="18"/>
  <c r="B136" i="18"/>
  <c r="B135" i="18"/>
  <c r="B1" i="8"/>
  <c r="B309" i="8" s="1"/>
  <c r="J80" i="32" l="1"/>
  <c r="J79" i="32"/>
  <c r="J78" i="32"/>
  <c r="J76" i="32"/>
  <c r="I80" i="32"/>
  <c r="I79" i="32"/>
  <c r="I78" i="32"/>
  <c r="J74" i="32"/>
  <c r="J73" i="32"/>
  <c r="J72" i="32"/>
  <c r="I74" i="32"/>
  <c r="I73" i="32"/>
  <c r="I72" i="32"/>
  <c r="J70" i="32"/>
  <c r="L76" i="32"/>
  <c r="L80" i="32"/>
  <c r="L79" i="32"/>
  <c r="L78" i="32"/>
  <c r="K80" i="32"/>
  <c r="K79" i="32"/>
  <c r="K78" i="32"/>
  <c r="L74" i="32"/>
  <c r="L73" i="32"/>
  <c r="L72" i="32"/>
  <c r="K74" i="32"/>
  <c r="K73" i="32"/>
  <c r="K72" i="32"/>
  <c r="L70" i="32"/>
  <c r="N23" i="60"/>
  <c r="N22" i="60"/>
  <c r="N17" i="60"/>
  <c r="N16" i="60"/>
  <c r="L19" i="60"/>
  <c r="P19" i="60" s="1"/>
  <c r="H76" i="32"/>
  <c r="H70" i="32"/>
  <c r="F271" i="54"/>
  <c r="F270" i="54"/>
  <c r="N271" i="54"/>
  <c r="N270" i="54"/>
  <c r="H270" i="54"/>
  <c r="H271" i="54"/>
  <c r="M273" i="54"/>
  <c r="M269" i="54"/>
  <c r="M272" i="54"/>
  <c r="G273" i="54"/>
  <c r="G271" i="54"/>
  <c r="Q113" i="54"/>
  <c r="F273" i="54"/>
  <c r="F269" i="54"/>
  <c r="F272" i="54"/>
  <c r="N273" i="54"/>
  <c r="N269" i="54"/>
  <c r="N272" i="54"/>
  <c r="H269" i="54"/>
  <c r="H272" i="54"/>
  <c r="H273" i="54"/>
  <c r="Q110" i="54"/>
  <c r="Q109" i="54"/>
  <c r="M271" i="54"/>
  <c r="M270" i="54"/>
  <c r="G270" i="54"/>
  <c r="G269" i="54"/>
  <c r="G272" i="54"/>
  <c r="V112" i="15"/>
  <c r="V111" i="15"/>
  <c r="V107" i="15"/>
  <c r="V106" i="15"/>
  <c r="S104" i="15"/>
  <c r="T104" i="15" s="1"/>
  <c r="V105" i="15"/>
  <c r="S98" i="15"/>
  <c r="T98" i="15" s="1"/>
  <c r="V102" i="15"/>
  <c r="V101" i="15"/>
  <c r="R57" i="8"/>
  <c r="H70" i="36"/>
  <c r="G73" i="36" s="1"/>
  <c r="H73" i="36" s="1"/>
  <c r="H76" i="36"/>
  <c r="G78" i="36" s="1"/>
  <c r="H78" i="36" s="1"/>
  <c r="G74" i="36"/>
  <c r="H74" i="36" s="1"/>
  <c r="J79" i="36"/>
  <c r="I80" i="36"/>
  <c r="I78" i="36"/>
  <c r="J73" i="36"/>
  <c r="I74" i="36"/>
  <c r="I72" i="36"/>
  <c r="J80" i="36"/>
  <c r="J78" i="36"/>
  <c r="I79" i="36"/>
  <c r="J76" i="36"/>
  <c r="J74" i="36"/>
  <c r="J72" i="36"/>
  <c r="I73" i="36"/>
  <c r="J70" i="36"/>
  <c r="L70" i="36"/>
  <c r="K73" i="36" s="1"/>
  <c r="L73" i="36" s="1"/>
  <c r="L76" i="36"/>
  <c r="K78" i="36" s="1"/>
  <c r="L78" i="36" s="1"/>
  <c r="K74" i="36"/>
  <c r="L74" i="36" s="1"/>
  <c r="K72" i="36"/>
  <c r="L72" i="36" s="1"/>
  <c r="J80" i="30"/>
  <c r="J79" i="30"/>
  <c r="J78" i="30"/>
  <c r="I74" i="30"/>
  <c r="I73" i="30"/>
  <c r="I72" i="30"/>
  <c r="J70" i="30"/>
  <c r="I88" i="30" s="1"/>
  <c r="I80" i="30"/>
  <c r="I79" i="30"/>
  <c r="I78" i="30"/>
  <c r="J76" i="30"/>
  <c r="J74" i="30"/>
  <c r="J73" i="30"/>
  <c r="J72" i="30"/>
  <c r="H76" i="30"/>
  <c r="G79" i="30" s="1"/>
  <c r="H79" i="30" s="1"/>
  <c r="G78" i="30"/>
  <c r="H78" i="30" s="1"/>
  <c r="H70" i="30"/>
  <c r="G88" i="30" s="1"/>
  <c r="L80" i="30"/>
  <c r="L79" i="30"/>
  <c r="L78" i="30"/>
  <c r="L86" i="30" s="1"/>
  <c r="L76" i="30"/>
  <c r="K74" i="30"/>
  <c r="K73" i="30"/>
  <c r="K72" i="30"/>
  <c r="K80" i="30"/>
  <c r="K79" i="30"/>
  <c r="K78" i="30"/>
  <c r="L74" i="30"/>
  <c r="L73" i="30"/>
  <c r="L72" i="30"/>
  <c r="L70" i="30"/>
  <c r="L76" i="38" a="1"/>
  <c r="L76" i="38" s="1"/>
  <c r="K78" i="38" s="1"/>
  <c r="L78" i="38" s="1"/>
  <c r="L68" i="38"/>
  <c r="K72" i="38" s="1"/>
  <c r="L72" i="38" s="1"/>
  <c r="J81" i="38"/>
  <c r="J79" i="38"/>
  <c r="I82" i="38"/>
  <c r="I80" i="38"/>
  <c r="I78" i="38"/>
  <c r="J82" i="38"/>
  <c r="J80" i="38"/>
  <c r="J78" i="38"/>
  <c r="I79" i="38"/>
  <c r="I81" i="38"/>
  <c r="J73" i="38"/>
  <c r="J71" i="38"/>
  <c r="I70" i="38"/>
  <c r="I72" i="38"/>
  <c r="I74" i="38"/>
  <c r="J76" i="38"/>
  <c r="J74" i="38"/>
  <c r="J72" i="38"/>
  <c r="J70" i="38"/>
  <c r="I71" i="38"/>
  <c r="I73" i="38"/>
  <c r="J68" i="38"/>
  <c r="G82" i="38"/>
  <c r="H82" i="38" s="1"/>
  <c r="H68" i="38"/>
  <c r="G74" i="38" s="1"/>
  <c r="H74" i="38" s="1"/>
  <c r="K82" i="33"/>
  <c r="L82" i="33" s="1"/>
  <c r="K81" i="33"/>
  <c r="L81" i="33" s="1"/>
  <c r="L68" i="33"/>
  <c r="K74" i="33" s="1"/>
  <c r="L74" i="33" s="1"/>
  <c r="L70" i="24"/>
  <c r="K74" i="24" s="1"/>
  <c r="L74" i="24" s="1"/>
  <c r="L76" i="24"/>
  <c r="K80" i="24" s="1"/>
  <c r="L80" i="24" s="1"/>
  <c r="K73" i="24"/>
  <c r="L73" i="24" s="1"/>
  <c r="J76" i="24"/>
  <c r="I80" i="24" s="1"/>
  <c r="J80" i="24" s="1"/>
  <c r="J70" i="24"/>
  <c r="I74" i="24" s="1"/>
  <c r="J74" i="24" s="1"/>
  <c r="H70" i="24"/>
  <c r="G88" i="24" s="1"/>
  <c r="H76" i="24"/>
  <c r="G79" i="24" s="1"/>
  <c r="H79" i="24" s="1"/>
  <c r="G73" i="24"/>
  <c r="H73" i="24" s="1"/>
  <c r="L70" i="21"/>
  <c r="K74" i="21" s="1"/>
  <c r="L74" i="21" s="1"/>
  <c r="L76" i="21"/>
  <c r="K80" i="21" s="1"/>
  <c r="L80" i="21" s="1"/>
  <c r="K73" i="21"/>
  <c r="L73" i="21" s="1"/>
  <c r="J76" i="21"/>
  <c r="I80" i="21" s="1"/>
  <c r="J80" i="21" s="1"/>
  <c r="J70" i="21"/>
  <c r="I74" i="21" s="1"/>
  <c r="J74" i="21" s="1"/>
  <c r="H70" i="21"/>
  <c r="G74" i="21" s="1"/>
  <c r="H74" i="21" s="1"/>
  <c r="H76" i="21"/>
  <c r="G80" i="21" s="1"/>
  <c r="H80" i="21" s="1"/>
  <c r="G73" i="21"/>
  <c r="H73" i="21" s="1"/>
  <c r="J70" i="18"/>
  <c r="I73" i="18" s="1"/>
  <c r="J73" i="18" s="1"/>
  <c r="L76" i="18"/>
  <c r="K79" i="18" s="1"/>
  <c r="L79" i="18" s="1"/>
  <c r="L70" i="18"/>
  <c r="K74" i="18" s="1"/>
  <c r="L74" i="18" s="1"/>
  <c r="K80" i="18"/>
  <c r="L80" i="18" s="1"/>
  <c r="J76" i="18"/>
  <c r="I80" i="18" s="1"/>
  <c r="J80" i="18" s="1"/>
  <c r="G79" i="18"/>
  <c r="H79" i="18" s="1"/>
  <c r="H78" i="18"/>
  <c r="H70" i="18"/>
  <c r="G74" i="18" s="1"/>
  <c r="H74" i="18" s="1"/>
  <c r="H101" i="54"/>
  <c r="Q106" i="56"/>
  <c r="H101" i="56"/>
  <c r="Q106" i="54"/>
  <c r="Q115" i="54" s="1"/>
  <c r="N266" i="54"/>
  <c r="F266" i="54"/>
  <c r="H266" i="54"/>
  <c r="M266" i="54"/>
  <c r="G266" i="54"/>
  <c r="Q115" i="44"/>
  <c r="E122" i="32"/>
  <c r="E123" i="32" s="1"/>
  <c r="J129" i="38"/>
  <c r="K129" i="38"/>
  <c r="C128" i="38"/>
  <c r="M128" i="38"/>
  <c r="J125" i="33"/>
  <c r="C136" i="18"/>
  <c r="G136" i="18"/>
  <c r="I136" i="18"/>
  <c r="K136" i="18"/>
  <c r="M136" i="18"/>
  <c r="O136" i="18"/>
  <c r="D136" i="18"/>
  <c r="H136" i="18"/>
  <c r="J136" i="18"/>
  <c r="L136" i="18"/>
  <c r="N136" i="18"/>
  <c r="P136" i="18"/>
  <c r="C137" i="18"/>
  <c r="E137" i="18"/>
  <c r="D137" i="18"/>
  <c r="F137" i="18"/>
  <c r="H102" i="44"/>
  <c r="C136" i="36"/>
  <c r="O136" i="36"/>
  <c r="D136" i="36"/>
  <c r="P136" i="36"/>
  <c r="C137" i="36"/>
  <c r="E137" i="36"/>
  <c r="G137" i="36"/>
  <c r="I137" i="36"/>
  <c r="K137" i="36"/>
  <c r="M137" i="36"/>
  <c r="D137" i="36"/>
  <c r="F137" i="36"/>
  <c r="H137" i="36"/>
  <c r="J137" i="36"/>
  <c r="L137" i="36"/>
  <c r="N137" i="36"/>
  <c r="J87" i="38"/>
  <c r="D137" i="21"/>
  <c r="F137" i="21"/>
  <c r="H137" i="21"/>
  <c r="J137" i="21"/>
  <c r="L137" i="21"/>
  <c r="N137" i="21"/>
  <c r="P137" i="21"/>
  <c r="C137" i="21"/>
  <c r="E137" i="21"/>
  <c r="G137" i="21"/>
  <c r="I137" i="21"/>
  <c r="K137" i="21"/>
  <c r="M137" i="21"/>
  <c r="O137" i="21"/>
  <c r="D137" i="24"/>
  <c r="G137" i="24"/>
  <c r="I137" i="24"/>
  <c r="K137" i="24"/>
  <c r="M137" i="24"/>
  <c r="O137" i="24"/>
  <c r="C137" i="24"/>
  <c r="F137" i="24"/>
  <c r="H137" i="24"/>
  <c r="J137" i="24"/>
  <c r="L137" i="24"/>
  <c r="N137" i="24"/>
  <c r="P137" i="24"/>
  <c r="C136" i="30"/>
  <c r="O136" i="30"/>
  <c r="D136" i="30"/>
  <c r="N136" i="30"/>
  <c r="P136" i="30"/>
  <c r="D136" i="32"/>
  <c r="P136" i="32"/>
  <c r="C136" i="32"/>
  <c r="E136" i="32"/>
  <c r="O136" i="32"/>
  <c r="D136" i="21"/>
  <c r="F136" i="21"/>
  <c r="H136" i="21"/>
  <c r="J136" i="21"/>
  <c r="L136" i="21"/>
  <c r="N136" i="21"/>
  <c r="P136" i="21"/>
  <c r="C136" i="21"/>
  <c r="E136" i="21"/>
  <c r="G136" i="21"/>
  <c r="I136" i="21"/>
  <c r="K136" i="21"/>
  <c r="M136" i="21"/>
  <c r="O136" i="21"/>
  <c r="C136" i="24"/>
  <c r="F136" i="24"/>
  <c r="H136" i="24"/>
  <c r="J136" i="24"/>
  <c r="L136" i="24"/>
  <c r="N136" i="24"/>
  <c r="P136" i="24"/>
  <c r="E136" i="24"/>
  <c r="G136" i="24"/>
  <c r="I136" i="24"/>
  <c r="K136" i="24"/>
  <c r="M136" i="24"/>
  <c r="O136" i="24"/>
  <c r="C137" i="30"/>
  <c r="F137" i="30"/>
  <c r="H137" i="30"/>
  <c r="J137" i="30"/>
  <c r="L137" i="30"/>
  <c r="D137" i="30"/>
  <c r="G137" i="30"/>
  <c r="I137" i="30"/>
  <c r="K137" i="30"/>
  <c r="M137" i="30"/>
  <c r="D137" i="32"/>
  <c r="F137" i="32"/>
  <c r="H137" i="32"/>
  <c r="J137" i="32"/>
  <c r="L137" i="32"/>
  <c r="N137" i="32"/>
  <c r="C137" i="32"/>
  <c r="E137" i="32"/>
  <c r="G137" i="32"/>
  <c r="I137" i="32"/>
  <c r="K137" i="32"/>
  <c r="M137" i="32"/>
  <c r="E130" i="21"/>
  <c r="E123" i="24"/>
  <c r="T100" i="15"/>
  <c r="E119" i="30"/>
  <c r="E130" i="36"/>
  <c r="S118" i="15"/>
  <c r="T118" i="15" s="1"/>
  <c r="I129" i="38"/>
  <c r="I289" i="38" s="1"/>
  <c r="D129" i="38"/>
  <c r="D289" i="38" s="1"/>
  <c r="H129" i="38"/>
  <c r="E129" i="38"/>
  <c r="F129" i="38"/>
  <c r="K289" i="38"/>
  <c r="C129" i="38"/>
  <c r="D128" i="38"/>
  <c r="J289" i="38"/>
  <c r="G129" i="38"/>
  <c r="L293" i="38"/>
  <c r="L289" i="38"/>
  <c r="L290" i="38"/>
  <c r="L292" i="38"/>
  <c r="L294" i="38"/>
  <c r="L291" i="38"/>
  <c r="L288" i="38"/>
  <c r="S108" i="15"/>
  <c r="T108" i="15" s="1"/>
  <c r="I88" i="21"/>
  <c r="J94" i="21" s="1"/>
  <c r="K88" i="24"/>
  <c r="L94" i="24" s="1"/>
  <c r="E110" i="30"/>
  <c r="K88" i="30"/>
  <c r="K94" i="30" s="1"/>
  <c r="E121" i="30"/>
  <c r="E125" i="30"/>
  <c r="H90" i="38"/>
  <c r="J90" i="38"/>
  <c r="G90" i="38"/>
  <c r="N288" i="38"/>
  <c r="N289" i="38"/>
  <c r="N290" i="38"/>
  <c r="N291" i="38"/>
  <c r="N292" i="38"/>
  <c r="N293" i="38"/>
  <c r="N294" i="38"/>
  <c r="I90" i="38"/>
  <c r="L90" i="38"/>
  <c r="G108" i="38"/>
  <c r="O287" i="38"/>
  <c r="O288" i="38"/>
  <c r="O289" i="38"/>
  <c r="O290" i="38"/>
  <c r="O291" i="38"/>
  <c r="O292" i="38"/>
  <c r="O293" i="38"/>
  <c r="O294" i="38"/>
  <c r="K90" i="38"/>
  <c r="P287" i="38"/>
  <c r="P288" i="38"/>
  <c r="P289" i="38"/>
  <c r="P290" i="38"/>
  <c r="P291" i="38"/>
  <c r="P292" i="38"/>
  <c r="P293" i="38"/>
  <c r="P294" i="38"/>
  <c r="S106" i="15"/>
  <c r="T106" i="15" s="1"/>
  <c r="D133" i="33"/>
  <c r="F133" i="33"/>
  <c r="H133" i="33"/>
  <c r="J133" i="33"/>
  <c r="L133" i="33"/>
  <c r="N133" i="33"/>
  <c r="C133" i="33"/>
  <c r="E133" i="33"/>
  <c r="G133" i="33"/>
  <c r="I133" i="33"/>
  <c r="K133" i="33"/>
  <c r="M133" i="33"/>
  <c r="O133" i="33"/>
  <c r="D132" i="33"/>
  <c r="P132" i="33"/>
  <c r="C132" i="33"/>
  <c r="J124" i="33"/>
  <c r="S120" i="15"/>
  <c r="E123" i="36"/>
  <c r="K105" i="36"/>
  <c r="I105" i="36"/>
  <c r="G105" i="36"/>
  <c r="G88" i="36"/>
  <c r="K88" i="36"/>
  <c r="I88" i="36"/>
  <c r="I85" i="36"/>
  <c r="I93" i="36" s="1"/>
  <c r="K85" i="36"/>
  <c r="K93" i="36" s="1"/>
  <c r="H88" i="36"/>
  <c r="J88" i="36"/>
  <c r="L88" i="36"/>
  <c r="I90" i="33"/>
  <c r="J90" i="33"/>
  <c r="H90" i="33"/>
  <c r="L90" i="33"/>
  <c r="G90" i="33"/>
  <c r="K90" i="33"/>
  <c r="I88" i="32"/>
  <c r="H88" i="32"/>
  <c r="J88" i="32"/>
  <c r="K105" i="32"/>
  <c r="I105" i="32"/>
  <c r="G105" i="32"/>
  <c r="I85" i="30"/>
  <c r="I93" i="30" s="1"/>
  <c r="L85" i="30"/>
  <c r="L93" i="30" s="1"/>
  <c r="H88" i="30"/>
  <c r="J88" i="30"/>
  <c r="K105" i="30"/>
  <c r="I105" i="30"/>
  <c r="G105" i="30"/>
  <c r="J85" i="30"/>
  <c r="J93" i="30" s="1"/>
  <c r="I88" i="24"/>
  <c r="H88" i="24"/>
  <c r="J88" i="24"/>
  <c r="K105" i="24"/>
  <c r="I105" i="24"/>
  <c r="G105" i="24"/>
  <c r="E123" i="21"/>
  <c r="I94" i="21"/>
  <c r="H88" i="21"/>
  <c r="J88" i="21"/>
  <c r="L88" i="21"/>
  <c r="G105" i="21"/>
  <c r="K105" i="21"/>
  <c r="G88" i="21"/>
  <c r="K88" i="21"/>
  <c r="E123" i="18"/>
  <c r="I88" i="18"/>
  <c r="I94" i="18" s="1"/>
  <c r="K105" i="18"/>
  <c r="I105" i="18"/>
  <c r="G105" i="18"/>
  <c r="L88" i="18"/>
  <c r="J88" i="18"/>
  <c r="K88" i="18"/>
  <c r="L20" i="60" l="1"/>
  <c r="P20" i="60" s="1"/>
  <c r="G88" i="32"/>
  <c r="G74" i="32"/>
  <c r="H74" i="32" s="1"/>
  <c r="G73" i="32"/>
  <c r="H73" i="32" s="1"/>
  <c r="G72" i="32"/>
  <c r="G80" i="32"/>
  <c r="H80" i="32" s="1"/>
  <c r="G79" i="32"/>
  <c r="H79" i="32" s="1"/>
  <c r="G78" i="32"/>
  <c r="H78" i="32" s="1"/>
  <c r="T120" i="15"/>
  <c r="T122" i="15"/>
  <c r="S123" i="15" s="1"/>
  <c r="S103" i="15"/>
  <c r="S119" i="15"/>
  <c r="S113" i="15"/>
  <c r="S101" i="15"/>
  <c r="S107" i="15"/>
  <c r="G72" i="38"/>
  <c r="H72" i="38" s="1"/>
  <c r="G71" i="38"/>
  <c r="H71" i="38" s="1"/>
  <c r="G72" i="36"/>
  <c r="H72" i="36" s="1"/>
  <c r="G79" i="36"/>
  <c r="H79" i="36" s="1"/>
  <c r="G80" i="36"/>
  <c r="H80" i="36" s="1"/>
  <c r="G80" i="30"/>
  <c r="H80" i="30" s="1"/>
  <c r="K94" i="24"/>
  <c r="K73" i="38"/>
  <c r="L73" i="38" s="1"/>
  <c r="K71" i="38"/>
  <c r="L71" i="38" s="1"/>
  <c r="K80" i="38"/>
  <c r="L80" i="38" s="1"/>
  <c r="K70" i="38"/>
  <c r="K74" i="38"/>
  <c r="L74" i="38" s="1"/>
  <c r="K81" i="38"/>
  <c r="L81" i="38" s="1"/>
  <c r="K82" i="38"/>
  <c r="L82" i="38" s="1"/>
  <c r="K79" i="38"/>
  <c r="L79" i="38" s="1"/>
  <c r="K80" i="36"/>
  <c r="L80" i="36" s="1"/>
  <c r="K79" i="36"/>
  <c r="L79" i="36" s="1"/>
  <c r="G73" i="30"/>
  <c r="H73" i="30" s="1"/>
  <c r="G72" i="30"/>
  <c r="H72" i="30" s="1"/>
  <c r="H85" i="30" s="1"/>
  <c r="H93" i="30" s="1"/>
  <c r="G74" i="30"/>
  <c r="H74" i="30" s="1"/>
  <c r="G94" i="30"/>
  <c r="H94" i="30"/>
  <c r="G73" i="38"/>
  <c r="H73" i="38" s="1"/>
  <c r="G70" i="38"/>
  <c r="H70" i="38" s="1"/>
  <c r="G81" i="38"/>
  <c r="H81" i="38" s="1"/>
  <c r="G80" i="38"/>
  <c r="H80" i="38" s="1"/>
  <c r="G79" i="38"/>
  <c r="H79" i="38" s="1"/>
  <c r="G78" i="38"/>
  <c r="H78" i="38" s="1"/>
  <c r="K72" i="33"/>
  <c r="L72" i="33" s="1"/>
  <c r="K71" i="33"/>
  <c r="L71" i="33" s="1"/>
  <c r="K70" i="33"/>
  <c r="L70" i="33" s="1"/>
  <c r="K73" i="33"/>
  <c r="L73" i="33" s="1"/>
  <c r="K79" i="33"/>
  <c r="L79" i="33" s="1"/>
  <c r="K80" i="33"/>
  <c r="L80" i="33" s="1"/>
  <c r="K78" i="33"/>
  <c r="L78" i="33" s="1"/>
  <c r="E123" i="30"/>
  <c r="K72" i="24"/>
  <c r="L72" i="24" s="1"/>
  <c r="L85" i="24" s="1"/>
  <c r="L93" i="24" s="1"/>
  <c r="K79" i="24"/>
  <c r="L79" i="24" s="1"/>
  <c r="K78" i="24"/>
  <c r="L78" i="24" s="1"/>
  <c r="L86" i="24" s="1"/>
  <c r="I73" i="24"/>
  <c r="J73" i="24" s="1"/>
  <c r="I79" i="24"/>
  <c r="J79" i="24" s="1"/>
  <c r="I72" i="24"/>
  <c r="I78" i="24"/>
  <c r="J78" i="24" s="1"/>
  <c r="G94" i="24"/>
  <c r="H94" i="24"/>
  <c r="G78" i="24"/>
  <c r="H78" i="24" s="1"/>
  <c r="G80" i="24"/>
  <c r="H80" i="24" s="1"/>
  <c r="G72" i="24"/>
  <c r="H72" i="24" s="1"/>
  <c r="H85" i="24" s="1"/>
  <c r="H93" i="24" s="1"/>
  <c r="G74" i="24"/>
  <c r="H74" i="24" s="1"/>
  <c r="K78" i="18"/>
  <c r="L78" i="18" s="1"/>
  <c r="I72" i="18"/>
  <c r="K79" i="21"/>
  <c r="L79" i="21" s="1"/>
  <c r="K72" i="21"/>
  <c r="K78" i="21"/>
  <c r="I73" i="21"/>
  <c r="J73" i="21" s="1"/>
  <c r="I79" i="21"/>
  <c r="J79" i="21" s="1"/>
  <c r="I72" i="21"/>
  <c r="I78" i="21"/>
  <c r="G72" i="21"/>
  <c r="H72" i="21" s="1"/>
  <c r="G79" i="21"/>
  <c r="H79" i="21" s="1"/>
  <c r="G78" i="21"/>
  <c r="H78" i="21" s="1"/>
  <c r="I74" i="18"/>
  <c r="J74" i="18" s="1"/>
  <c r="K72" i="18"/>
  <c r="L72" i="18" s="1"/>
  <c r="K73" i="18"/>
  <c r="L73" i="18" s="1"/>
  <c r="G80" i="18"/>
  <c r="H80" i="18" s="1"/>
  <c r="I79" i="18"/>
  <c r="J79" i="18" s="1"/>
  <c r="I78" i="18"/>
  <c r="J78" i="18" s="1"/>
  <c r="G73" i="18"/>
  <c r="H73" i="18" s="1"/>
  <c r="G72" i="18"/>
  <c r="H72" i="18" s="1"/>
  <c r="H85" i="18" s="1"/>
  <c r="H93" i="18" s="1"/>
  <c r="Q115" i="56"/>
  <c r="H102" i="56"/>
  <c r="H102" i="54"/>
  <c r="L85" i="36"/>
  <c r="L93" i="36" s="1"/>
  <c r="I86" i="36"/>
  <c r="J86" i="36"/>
  <c r="J85" i="36"/>
  <c r="J93" i="36" s="1"/>
  <c r="G86" i="36"/>
  <c r="H86" i="36"/>
  <c r="T385" i="40"/>
  <c r="T383" i="40"/>
  <c r="T381" i="40"/>
  <c r="T386" i="40"/>
  <c r="T384" i="40"/>
  <c r="T382" i="40"/>
  <c r="K85" i="30"/>
  <c r="K93" i="30" s="1"/>
  <c r="H289" i="38"/>
  <c r="G289" i="38"/>
  <c r="F289" i="38"/>
  <c r="M288" i="38"/>
  <c r="D288" i="38"/>
  <c r="E289" i="38"/>
  <c r="K88" i="38"/>
  <c r="J87" i="33"/>
  <c r="J96" i="33" s="1"/>
  <c r="J122" i="38"/>
  <c r="G85" i="30"/>
  <c r="G93" i="30" s="1"/>
  <c r="S96" i="15"/>
  <c r="T96" i="15" s="1"/>
  <c r="S97" i="15" s="1"/>
  <c r="J94" i="18"/>
  <c r="E130" i="18"/>
  <c r="J86" i="24"/>
  <c r="E130" i="24"/>
  <c r="G85" i="24"/>
  <c r="G93" i="24" s="1"/>
  <c r="L94" i="30"/>
  <c r="E130" i="30"/>
  <c r="K97" i="38"/>
  <c r="L97" i="38"/>
  <c r="L99" i="38"/>
  <c r="K99" i="38"/>
  <c r="G99" i="38"/>
  <c r="H99" i="38"/>
  <c r="H97" i="38"/>
  <c r="G97" i="38"/>
  <c r="J99" i="38"/>
  <c r="I99" i="38"/>
  <c r="J97" i="38"/>
  <c r="I97" i="38"/>
  <c r="C289" i="38"/>
  <c r="C288" i="38"/>
  <c r="G87" i="33"/>
  <c r="G96" i="33" s="1"/>
  <c r="C292" i="33"/>
  <c r="M293" i="33"/>
  <c r="I293" i="33"/>
  <c r="E293" i="33"/>
  <c r="L293" i="33"/>
  <c r="H293" i="33"/>
  <c r="D293" i="33"/>
  <c r="P292" i="33"/>
  <c r="D292" i="33"/>
  <c r="O293" i="33"/>
  <c r="K293" i="33"/>
  <c r="G293" i="33"/>
  <c r="C293" i="33"/>
  <c r="N293" i="33"/>
  <c r="J293" i="33"/>
  <c r="F293" i="33"/>
  <c r="L87" i="33"/>
  <c r="L96" i="33" s="1"/>
  <c r="L86" i="32"/>
  <c r="J94" i="36"/>
  <c r="I94" i="36"/>
  <c r="L96" i="36"/>
  <c r="K96" i="36"/>
  <c r="H96" i="36"/>
  <c r="G96" i="36"/>
  <c r="L94" i="36"/>
  <c r="K94" i="36"/>
  <c r="H94" i="36"/>
  <c r="G94" i="36"/>
  <c r="I87" i="36"/>
  <c r="I95" i="36" s="1"/>
  <c r="J96" i="36"/>
  <c r="I96" i="36"/>
  <c r="K86" i="32"/>
  <c r="E130" i="32"/>
  <c r="J86" i="32"/>
  <c r="I86" i="32"/>
  <c r="H86" i="32"/>
  <c r="G86" i="32"/>
  <c r="I97" i="33"/>
  <c r="J97" i="33"/>
  <c r="H99" i="33"/>
  <c r="G99" i="33"/>
  <c r="L97" i="33"/>
  <c r="K97" i="33"/>
  <c r="H87" i="33"/>
  <c r="H96" i="33" s="1"/>
  <c r="L99" i="33"/>
  <c r="K99" i="33"/>
  <c r="H97" i="33"/>
  <c r="G97" i="33"/>
  <c r="J99" i="33"/>
  <c r="I99" i="33"/>
  <c r="G94" i="32"/>
  <c r="H94" i="32"/>
  <c r="I94" i="32"/>
  <c r="J94" i="32"/>
  <c r="I96" i="32"/>
  <c r="J96" i="32"/>
  <c r="K96" i="32"/>
  <c r="L96" i="32"/>
  <c r="K88" i="32"/>
  <c r="G96" i="32"/>
  <c r="H96" i="32"/>
  <c r="K86" i="30"/>
  <c r="K87" i="30" s="1"/>
  <c r="K95" i="30" s="1"/>
  <c r="I94" i="30"/>
  <c r="J94" i="30"/>
  <c r="I96" i="30"/>
  <c r="J96" i="30"/>
  <c r="K96" i="30"/>
  <c r="L96" i="30"/>
  <c r="L87" i="30"/>
  <c r="L95" i="30" s="1"/>
  <c r="G96" i="30"/>
  <c r="H96" i="30"/>
  <c r="I94" i="24"/>
  <c r="J94" i="24"/>
  <c r="L87" i="24"/>
  <c r="L95" i="24" s="1"/>
  <c r="G96" i="24"/>
  <c r="H96" i="24"/>
  <c r="I96" i="24"/>
  <c r="J96" i="24"/>
  <c r="K96" i="24"/>
  <c r="L96" i="24"/>
  <c r="L102" i="24" s="1"/>
  <c r="H86" i="21"/>
  <c r="G86" i="21"/>
  <c r="G94" i="21"/>
  <c r="H94" i="21"/>
  <c r="K94" i="21"/>
  <c r="L94" i="21"/>
  <c r="G96" i="21"/>
  <c r="H96" i="21"/>
  <c r="I96" i="21"/>
  <c r="J96" i="21"/>
  <c r="K96" i="21"/>
  <c r="L96" i="21"/>
  <c r="J86" i="18"/>
  <c r="K86" i="18"/>
  <c r="L86" i="18"/>
  <c r="I86" i="18"/>
  <c r="H86" i="18"/>
  <c r="G86" i="18"/>
  <c r="G85" i="18"/>
  <c r="G93" i="18" s="1"/>
  <c r="L94" i="18"/>
  <c r="K94" i="18"/>
  <c r="L96" i="18"/>
  <c r="K96" i="18"/>
  <c r="J96" i="18"/>
  <c r="I96" i="18"/>
  <c r="G88" i="18"/>
  <c r="H96" i="18"/>
  <c r="G96" i="18"/>
  <c r="G85" i="32" l="1"/>
  <c r="H72" i="32"/>
  <c r="H85" i="32" s="1"/>
  <c r="G85" i="36"/>
  <c r="G93" i="36" s="1"/>
  <c r="S121" i="15"/>
  <c r="S99" i="15"/>
  <c r="S105" i="15"/>
  <c r="S111" i="15"/>
  <c r="S117" i="15"/>
  <c r="S109" i="15"/>
  <c r="I86" i="24"/>
  <c r="K85" i="24"/>
  <c r="K93" i="24" s="1"/>
  <c r="L70" i="38"/>
  <c r="L87" i="38" s="1"/>
  <c r="K87" i="38"/>
  <c r="J98" i="36"/>
  <c r="J87" i="36"/>
  <c r="J95" i="36" s="1"/>
  <c r="J102" i="36" s="1"/>
  <c r="G87" i="36"/>
  <c r="G95" i="36" s="1"/>
  <c r="K86" i="24"/>
  <c r="K87" i="24" s="1"/>
  <c r="K95" i="24" s="1"/>
  <c r="L98" i="24"/>
  <c r="L101" i="24" s="1"/>
  <c r="J72" i="24"/>
  <c r="J85" i="24" s="1"/>
  <c r="I85" i="24"/>
  <c r="I93" i="24" s="1"/>
  <c r="J72" i="18"/>
  <c r="J85" i="18" s="1"/>
  <c r="J93" i="18" s="1"/>
  <c r="I85" i="18"/>
  <c r="I93" i="18" s="1"/>
  <c r="K85" i="21"/>
  <c r="K93" i="21" s="1"/>
  <c r="L72" i="21"/>
  <c r="L85" i="21" s="1"/>
  <c r="L93" i="21" s="1"/>
  <c r="L78" i="21"/>
  <c r="L86" i="21" s="1"/>
  <c r="K86" i="21"/>
  <c r="J78" i="21"/>
  <c r="J86" i="21" s="1"/>
  <c r="I86" i="21"/>
  <c r="I85" i="21"/>
  <c r="I93" i="21" s="1"/>
  <c r="J72" i="21"/>
  <c r="J85" i="21" s="1"/>
  <c r="J93" i="21" s="1"/>
  <c r="H85" i="36"/>
  <c r="K86" i="36"/>
  <c r="K87" i="36" s="1"/>
  <c r="K95" i="36" s="1"/>
  <c r="L98" i="36" s="1"/>
  <c r="L86" i="36"/>
  <c r="L87" i="36" s="1"/>
  <c r="L95" i="36" s="1"/>
  <c r="L102" i="36" s="1"/>
  <c r="H98" i="36"/>
  <c r="K96" i="38"/>
  <c r="H87" i="38"/>
  <c r="H96" i="38" s="1"/>
  <c r="L88" i="38"/>
  <c r="G87" i="38"/>
  <c r="G96" i="38" s="1"/>
  <c r="J88" i="38"/>
  <c r="I88" i="38"/>
  <c r="K87" i="33"/>
  <c r="K96" i="33" s="1"/>
  <c r="L96" i="38"/>
  <c r="I87" i="38"/>
  <c r="I87" i="33"/>
  <c r="I96" i="33" s="1"/>
  <c r="G88" i="38"/>
  <c r="H88" i="38"/>
  <c r="K88" i="33"/>
  <c r="L88" i="33"/>
  <c r="L89" i="33" s="1"/>
  <c r="L98" i="33" s="1"/>
  <c r="L105" i="33" s="1"/>
  <c r="I88" i="33"/>
  <c r="J88" i="33"/>
  <c r="J89" i="33" s="1"/>
  <c r="J98" i="33" s="1"/>
  <c r="J105" i="33" s="1"/>
  <c r="J85" i="32"/>
  <c r="I85" i="32"/>
  <c r="I93" i="32" s="1"/>
  <c r="G88" i="33"/>
  <c r="G89" i="33" s="1"/>
  <c r="G98" i="33" s="1"/>
  <c r="H101" i="33" s="1"/>
  <c r="H88" i="33"/>
  <c r="H89" i="33" s="1"/>
  <c r="H98" i="33" s="1"/>
  <c r="H105" i="33" s="1"/>
  <c r="K94" i="32"/>
  <c r="L94" i="32"/>
  <c r="L85" i="32"/>
  <c r="K85" i="32"/>
  <c r="L102" i="30"/>
  <c r="L98" i="30"/>
  <c r="H86" i="30"/>
  <c r="H87" i="30" s="1"/>
  <c r="H95" i="30" s="1"/>
  <c r="H102" i="30" s="1"/>
  <c r="G86" i="30"/>
  <c r="G87" i="30" s="1"/>
  <c r="G95" i="30" s="1"/>
  <c r="H98" i="30" s="1"/>
  <c r="J86" i="30"/>
  <c r="J87" i="30" s="1"/>
  <c r="J95" i="30" s="1"/>
  <c r="J102" i="30" s="1"/>
  <c r="I86" i="30"/>
  <c r="I87" i="30" s="1"/>
  <c r="I95" i="30" s="1"/>
  <c r="J98" i="30" s="1"/>
  <c r="H86" i="24"/>
  <c r="H87" i="24" s="1"/>
  <c r="H95" i="24" s="1"/>
  <c r="H102" i="24" s="1"/>
  <c r="G86" i="24"/>
  <c r="G87" i="24" s="1"/>
  <c r="G95" i="24" s="1"/>
  <c r="H98" i="24" s="1"/>
  <c r="G85" i="21"/>
  <c r="H85" i="21"/>
  <c r="L85" i="18"/>
  <c r="K85" i="18"/>
  <c r="G87" i="18"/>
  <c r="G95" i="18" s="1"/>
  <c r="H87" i="18"/>
  <c r="H95" i="18" s="1"/>
  <c r="H94" i="18"/>
  <c r="G94" i="18"/>
  <c r="J100" i="36" l="1"/>
  <c r="J99" i="36"/>
  <c r="J101" i="36"/>
  <c r="L99" i="24"/>
  <c r="L100" i="24"/>
  <c r="L105" i="24" s="1"/>
  <c r="J93" i="24"/>
  <c r="J87" i="24"/>
  <c r="J95" i="24" s="1"/>
  <c r="I87" i="24"/>
  <c r="I95" i="24" s="1"/>
  <c r="J98" i="24" s="1"/>
  <c r="K87" i="21"/>
  <c r="K95" i="21" s="1"/>
  <c r="L98" i="21" s="1"/>
  <c r="L87" i="21"/>
  <c r="L95" i="21" s="1"/>
  <c r="L102" i="21" s="1"/>
  <c r="J87" i="18"/>
  <c r="J95" i="18" s="1"/>
  <c r="J102" i="18" s="1"/>
  <c r="I87" i="18"/>
  <c r="I95" i="18" s="1"/>
  <c r="J98" i="18" s="1"/>
  <c r="J87" i="21"/>
  <c r="J95" i="21" s="1"/>
  <c r="J102" i="21" s="1"/>
  <c r="I87" i="21"/>
  <c r="I95" i="21" s="1"/>
  <c r="J98" i="21" s="1"/>
  <c r="H93" i="36"/>
  <c r="H87" i="36"/>
  <c r="H95" i="36" s="1"/>
  <c r="L101" i="36"/>
  <c r="L100" i="36"/>
  <c r="L105" i="36" s="1"/>
  <c r="L99" i="36"/>
  <c r="J105" i="36"/>
  <c r="K89" i="38"/>
  <c r="K98" i="38" s="1"/>
  <c r="L101" i="38" s="1"/>
  <c r="H89" i="38"/>
  <c r="H98" i="38" s="1"/>
  <c r="H105" i="38" s="1"/>
  <c r="G89" i="38"/>
  <c r="G98" i="38" s="1"/>
  <c r="H101" i="38" s="1"/>
  <c r="L89" i="38"/>
  <c r="L98" i="38" s="1"/>
  <c r="L105" i="38" s="1"/>
  <c r="K89" i="33"/>
  <c r="K98" i="33" s="1"/>
  <c r="L101" i="33" s="1"/>
  <c r="J96" i="38"/>
  <c r="J89" i="38"/>
  <c r="J98" i="38" s="1"/>
  <c r="I89" i="33"/>
  <c r="I98" i="33" s="1"/>
  <c r="J101" i="33" s="1"/>
  <c r="J103" i="33" s="1"/>
  <c r="J108" i="33" s="1"/>
  <c r="I96" i="38"/>
  <c r="I89" i="38"/>
  <c r="I98" i="38" s="1"/>
  <c r="H98" i="18"/>
  <c r="L101" i="30"/>
  <c r="L99" i="30"/>
  <c r="I87" i="32"/>
  <c r="I95" i="32" s="1"/>
  <c r="J98" i="32" s="1"/>
  <c r="J93" i="32"/>
  <c r="J87" i="32"/>
  <c r="J95" i="32" s="1"/>
  <c r="H104" i="33"/>
  <c r="H102" i="33"/>
  <c r="H103" i="33"/>
  <c r="H93" i="32"/>
  <c r="H87" i="32"/>
  <c r="H95" i="32" s="1"/>
  <c r="L93" i="32"/>
  <c r="L87" i="32"/>
  <c r="L95" i="32" s="1"/>
  <c r="G93" i="32"/>
  <c r="G87" i="32"/>
  <c r="G95" i="32" s="1"/>
  <c r="K93" i="32"/>
  <c r="K87" i="32"/>
  <c r="K95" i="32" s="1"/>
  <c r="L100" i="30"/>
  <c r="J100" i="30"/>
  <c r="J99" i="30"/>
  <c r="J101" i="30"/>
  <c r="H101" i="30"/>
  <c r="H99" i="30"/>
  <c r="H100" i="30"/>
  <c r="H101" i="24"/>
  <c r="H99" i="24"/>
  <c r="H100" i="24"/>
  <c r="G93" i="21"/>
  <c r="G87" i="21"/>
  <c r="G95" i="21" s="1"/>
  <c r="H93" i="21"/>
  <c r="H87" i="21"/>
  <c r="H95" i="21" s="1"/>
  <c r="H102" i="18"/>
  <c r="H101" i="18" s="1"/>
  <c r="K93" i="18"/>
  <c r="K87" i="18"/>
  <c r="K95" i="18" s="1"/>
  <c r="L93" i="18"/>
  <c r="L87" i="18"/>
  <c r="L95" i="18" s="1"/>
  <c r="L108" i="38" l="1"/>
  <c r="H108" i="38"/>
  <c r="J102" i="24"/>
  <c r="J99" i="24" s="1"/>
  <c r="L100" i="21"/>
  <c r="L105" i="21" s="1"/>
  <c r="L99" i="21"/>
  <c r="L101" i="21"/>
  <c r="J101" i="18"/>
  <c r="J100" i="18"/>
  <c r="J99" i="18"/>
  <c r="J99" i="21"/>
  <c r="J101" i="21"/>
  <c r="J100" i="21"/>
  <c r="J105" i="21" s="1"/>
  <c r="H102" i="36"/>
  <c r="H99" i="18"/>
  <c r="J105" i="18"/>
  <c r="H105" i="24"/>
  <c r="J105" i="30"/>
  <c r="H105" i="30"/>
  <c r="L105" i="30"/>
  <c r="J104" i="33"/>
  <c r="H108" i="33"/>
  <c r="H103" i="38"/>
  <c r="H102" i="38"/>
  <c r="H104" i="38"/>
  <c r="L103" i="38"/>
  <c r="L102" i="38"/>
  <c r="L104" i="38"/>
  <c r="L104" i="33"/>
  <c r="L103" i="33"/>
  <c r="L102" i="33"/>
  <c r="J101" i="38"/>
  <c r="J102" i="33"/>
  <c r="J105" i="38"/>
  <c r="J108" i="38" s="1"/>
  <c r="J102" i="32"/>
  <c r="J101" i="32" s="1"/>
  <c r="L98" i="32"/>
  <c r="H98" i="32"/>
  <c r="L102" i="32"/>
  <c r="H102" i="32"/>
  <c r="H102" i="21"/>
  <c r="H98" i="21"/>
  <c r="H100" i="18"/>
  <c r="L102" i="18"/>
  <c r="L98" i="18"/>
  <c r="J101" i="24" l="1"/>
  <c r="J100" i="24"/>
  <c r="J105" i="24" s="1"/>
  <c r="H101" i="36"/>
  <c r="H100" i="36"/>
  <c r="H105" i="36" s="1"/>
  <c r="H99" i="36"/>
  <c r="H105" i="18"/>
  <c r="L108" i="33"/>
  <c r="J104" i="38"/>
  <c r="J103" i="38"/>
  <c r="J102" i="38"/>
  <c r="C109" i="24"/>
  <c r="J100" i="32"/>
  <c r="J99" i="32"/>
  <c r="H100" i="32"/>
  <c r="H101" i="32"/>
  <c r="H99" i="32"/>
  <c r="L100" i="32"/>
  <c r="L101" i="32"/>
  <c r="L99" i="32"/>
  <c r="H100" i="21"/>
  <c r="H101" i="21"/>
  <c r="H99" i="21"/>
  <c r="L101" i="18"/>
  <c r="L100" i="18"/>
  <c r="L105" i="18" s="1"/>
  <c r="L99" i="18"/>
  <c r="H112" i="33" l="1"/>
  <c r="C139" i="33"/>
  <c r="C138" i="33"/>
  <c r="C135" i="33"/>
  <c r="C137" i="33"/>
  <c r="C134" i="33"/>
  <c r="C136" i="33"/>
  <c r="C109" i="36"/>
  <c r="G109" i="36" s="1"/>
  <c r="C110" i="30"/>
  <c r="G110" i="30" s="1"/>
  <c r="D135" i="24"/>
  <c r="D143" i="24"/>
  <c r="D141" i="24"/>
  <c r="D138" i="24"/>
  <c r="D140" i="24"/>
  <c r="D139" i="24"/>
  <c r="D142" i="24"/>
  <c r="C141" i="24"/>
  <c r="C138" i="24"/>
  <c r="C142" i="24"/>
  <c r="C139" i="24"/>
  <c r="C140" i="24"/>
  <c r="C135" i="24"/>
  <c r="C143" i="24"/>
  <c r="C135" i="36"/>
  <c r="C111" i="36"/>
  <c r="G111" i="36" s="1"/>
  <c r="E137" i="24"/>
  <c r="C110" i="18"/>
  <c r="C109" i="18"/>
  <c r="H105" i="21"/>
  <c r="C110" i="24"/>
  <c r="G110" i="24" s="1"/>
  <c r="D136" i="24"/>
  <c r="Q136" i="24" s="1"/>
  <c r="D135" i="30"/>
  <c r="E137" i="30"/>
  <c r="L105" i="32"/>
  <c r="H105" i="32"/>
  <c r="J105" i="32"/>
  <c r="E128" i="38"/>
  <c r="C131" i="33"/>
  <c r="H112" i="38"/>
  <c r="C127" i="38" s="1"/>
  <c r="C111" i="24"/>
  <c r="G111" i="24" s="1"/>
  <c r="G109" i="24"/>
  <c r="E288" i="38" l="1"/>
  <c r="C111" i="18"/>
  <c r="G111" i="18" s="1"/>
  <c r="E136" i="18"/>
  <c r="C294" i="33"/>
  <c r="C295" i="33"/>
  <c r="H113" i="33"/>
  <c r="D139" i="33"/>
  <c r="D135" i="33"/>
  <c r="D137" i="33"/>
  <c r="D134" i="33"/>
  <c r="D136" i="33"/>
  <c r="D138" i="33"/>
  <c r="C296" i="33"/>
  <c r="C297" i="33"/>
  <c r="C298" i="33"/>
  <c r="D132" i="38"/>
  <c r="D133" i="38"/>
  <c r="D134" i="38"/>
  <c r="D130" i="38"/>
  <c r="D131" i="38"/>
  <c r="E132" i="38"/>
  <c r="E130" i="38"/>
  <c r="E134" i="38"/>
  <c r="E133" i="38"/>
  <c r="E131" i="38"/>
  <c r="C143" i="36"/>
  <c r="C140" i="36"/>
  <c r="C142" i="36"/>
  <c r="C141" i="36"/>
  <c r="C138" i="36"/>
  <c r="C139" i="36"/>
  <c r="E143" i="36"/>
  <c r="E138" i="36"/>
  <c r="E139" i="36"/>
  <c r="E140" i="36"/>
  <c r="E142" i="36"/>
  <c r="E141" i="36"/>
  <c r="D143" i="36"/>
  <c r="D138" i="36"/>
  <c r="D142" i="36"/>
  <c r="D139" i="36"/>
  <c r="D141" i="36"/>
  <c r="D140" i="36"/>
  <c r="C143" i="30"/>
  <c r="C140" i="30"/>
  <c r="C142" i="30"/>
  <c r="C138" i="30"/>
  <c r="C139" i="30"/>
  <c r="C141" i="30"/>
  <c r="E135" i="30"/>
  <c r="D143" i="30"/>
  <c r="D142" i="30"/>
  <c r="D139" i="30"/>
  <c r="D138" i="30"/>
  <c r="D140" i="30"/>
  <c r="D141" i="30"/>
  <c r="E135" i="24"/>
  <c r="E143" i="24"/>
  <c r="E139" i="24"/>
  <c r="E140" i="24"/>
  <c r="E141" i="24"/>
  <c r="E138" i="24"/>
  <c r="E142" i="24"/>
  <c r="G143" i="24"/>
  <c r="G141" i="24"/>
  <c r="G142" i="24"/>
  <c r="G139" i="24"/>
  <c r="G140" i="24"/>
  <c r="C138" i="18"/>
  <c r="C140" i="18"/>
  <c r="C142" i="18"/>
  <c r="C139" i="18"/>
  <c r="C141" i="18"/>
  <c r="D135" i="18"/>
  <c r="D143" i="18"/>
  <c r="D138" i="18"/>
  <c r="D140" i="18"/>
  <c r="D142" i="18"/>
  <c r="D139" i="18"/>
  <c r="D141" i="18"/>
  <c r="E143" i="18"/>
  <c r="E138" i="18"/>
  <c r="E140" i="18"/>
  <c r="E142" i="18"/>
  <c r="E139" i="18"/>
  <c r="E141" i="18"/>
  <c r="C135" i="30"/>
  <c r="C109" i="30"/>
  <c r="G109" i="30" s="1"/>
  <c r="M132" i="33"/>
  <c r="P133" i="33"/>
  <c r="C135" i="18"/>
  <c r="C143" i="18"/>
  <c r="C110" i="36"/>
  <c r="G110" i="36" s="1"/>
  <c r="D135" i="36"/>
  <c r="C291" i="33"/>
  <c r="E135" i="18"/>
  <c r="G110" i="18"/>
  <c r="G138" i="24"/>
  <c r="G135" i="24"/>
  <c r="G109" i="18"/>
  <c r="D131" i="33"/>
  <c r="L112" i="38"/>
  <c r="H114" i="38"/>
  <c r="L114" i="38" s="1"/>
  <c r="E127" i="38"/>
  <c r="H113" i="38"/>
  <c r="L113" i="38" s="1"/>
  <c r="D127" i="38"/>
  <c r="O141" i="24"/>
  <c r="I132" i="33"/>
  <c r="J132" i="33"/>
  <c r="F132" i="33"/>
  <c r="N132" i="33"/>
  <c r="G132" i="33"/>
  <c r="O132" i="33"/>
  <c r="L132" i="33"/>
  <c r="K132" i="33"/>
  <c r="E132" i="33"/>
  <c r="H132" i="33"/>
  <c r="C117" i="24"/>
  <c r="G117" i="24" s="1"/>
  <c r="C116" i="24"/>
  <c r="G116" i="24" s="1"/>
  <c r="C113" i="24"/>
  <c r="G113" i="24" s="1"/>
  <c r="Q137" i="24"/>
  <c r="H122" i="33"/>
  <c r="G110" i="21"/>
  <c r="H292" i="33" l="1"/>
  <c r="E292" i="33"/>
  <c r="Q132" i="33"/>
  <c r="K292" i="33"/>
  <c r="L292" i="33"/>
  <c r="O292" i="33"/>
  <c r="G292" i="33"/>
  <c r="N292" i="33"/>
  <c r="F292" i="33"/>
  <c r="J292" i="33"/>
  <c r="I292" i="33"/>
  <c r="P293" i="33"/>
  <c r="Q133" i="33"/>
  <c r="M292" i="33"/>
  <c r="E136" i="30"/>
  <c r="C111" i="30"/>
  <c r="G111" i="30" s="1"/>
  <c r="C121" i="18"/>
  <c r="G121" i="18" s="1"/>
  <c r="O137" i="18"/>
  <c r="H131" i="33"/>
  <c r="H139" i="33"/>
  <c r="H135" i="33"/>
  <c r="H137" i="33"/>
  <c r="H134" i="33"/>
  <c r="H136" i="33"/>
  <c r="H138" i="33"/>
  <c r="H120" i="33"/>
  <c r="K139" i="33"/>
  <c r="K138" i="33"/>
  <c r="K135" i="33"/>
  <c r="K137" i="33"/>
  <c r="K134" i="33"/>
  <c r="K136" i="33"/>
  <c r="O131" i="33"/>
  <c r="O139" i="33"/>
  <c r="O135" i="33"/>
  <c r="O137" i="33"/>
  <c r="O134" i="33"/>
  <c r="O136" i="33"/>
  <c r="H123" i="33"/>
  <c r="N139" i="33"/>
  <c r="N135" i="33"/>
  <c r="N137" i="33"/>
  <c r="N134" i="33"/>
  <c r="N136" i="33"/>
  <c r="N138" i="33"/>
  <c r="J139" i="33"/>
  <c r="J135" i="33"/>
  <c r="J137" i="33"/>
  <c r="J134" i="33"/>
  <c r="J136" i="33"/>
  <c r="J138" i="33"/>
  <c r="P139" i="33"/>
  <c r="P135" i="33"/>
  <c r="P137" i="33"/>
  <c r="P134" i="33"/>
  <c r="P136" i="33"/>
  <c r="D296" i="33"/>
  <c r="D297" i="33"/>
  <c r="E131" i="33"/>
  <c r="E139" i="33"/>
  <c r="E135" i="33"/>
  <c r="E137" i="33"/>
  <c r="E134" i="33"/>
  <c r="E136" i="33"/>
  <c r="E138" i="33"/>
  <c r="L139" i="33"/>
  <c r="L135" i="33"/>
  <c r="L137" i="33"/>
  <c r="L134" i="33"/>
  <c r="L136" i="33"/>
  <c r="L138" i="33"/>
  <c r="G139" i="33"/>
  <c r="G138" i="33"/>
  <c r="G135" i="33"/>
  <c r="G137" i="33"/>
  <c r="G134" i="33"/>
  <c r="G136" i="33"/>
  <c r="H115" i="33"/>
  <c r="F139" i="33"/>
  <c r="F135" i="33"/>
  <c r="F137" i="33"/>
  <c r="F134" i="33"/>
  <c r="F136" i="33"/>
  <c r="F138" i="33"/>
  <c r="I131" i="33"/>
  <c r="I139" i="33"/>
  <c r="I135" i="33"/>
  <c r="I137" i="33"/>
  <c r="I134" i="33"/>
  <c r="I136" i="33"/>
  <c r="I138" i="33"/>
  <c r="M131" i="33"/>
  <c r="M139" i="33"/>
  <c r="M135" i="33"/>
  <c r="M137" i="33"/>
  <c r="M134" i="33"/>
  <c r="M136" i="33"/>
  <c r="M138" i="33"/>
  <c r="D298" i="33"/>
  <c r="D294" i="33"/>
  <c r="D295" i="33"/>
  <c r="E291" i="38"/>
  <c r="E294" i="38"/>
  <c r="E292" i="38"/>
  <c r="D290" i="38"/>
  <c r="D293" i="38"/>
  <c r="E293" i="38"/>
  <c r="E290" i="38"/>
  <c r="D291" i="38"/>
  <c r="D294" i="38"/>
  <c r="D292" i="38"/>
  <c r="E143" i="30"/>
  <c r="E138" i="30"/>
  <c r="E139" i="30"/>
  <c r="E141" i="30"/>
  <c r="E140" i="30"/>
  <c r="E142" i="30"/>
  <c r="H135" i="30"/>
  <c r="O137" i="30"/>
  <c r="H136" i="30"/>
  <c r="F136" i="30"/>
  <c r="P137" i="30"/>
  <c r="I136" i="30"/>
  <c r="G136" i="30"/>
  <c r="H135" i="24"/>
  <c r="H143" i="24"/>
  <c r="H141" i="24"/>
  <c r="H140" i="24"/>
  <c r="H139" i="24"/>
  <c r="H142" i="24"/>
  <c r="P141" i="24"/>
  <c r="P139" i="24"/>
  <c r="P138" i="24"/>
  <c r="P140" i="24"/>
  <c r="I135" i="24"/>
  <c r="I143" i="24"/>
  <c r="I139" i="24"/>
  <c r="I140" i="24"/>
  <c r="I141" i="24"/>
  <c r="I142" i="24"/>
  <c r="N143" i="24"/>
  <c r="N139" i="24"/>
  <c r="N138" i="24"/>
  <c r="N142" i="24"/>
  <c r="N141" i="24"/>
  <c r="O135" i="24"/>
  <c r="O143" i="24"/>
  <c r="O139" i="24"/>
  <c r="O138" i="24"/>
  <c r="O142" i="24"/>
  <c r="O140" i="24"/>
  <c r="K135" i="24"/>
  <c r="K143" i="24"/>
  <c r="K141" i="24"/>
  <c r="K142" i="24"/>
  <c r="K139" i="24"/>
  <c r="K140" i="24"/>
  <c r="M135" i="24"/>
  <c r="M143" i="24"/>
  <c r="M140" i="24"/>
  <c r="M141" i="24"/>
  <c r="M138" i="24"/>
  <c r="M142" i="24"/>
  <c r="L135" i="24"/>
  <c r="L143" i="24"/>
  <c r="L141" i="24"/>
  <c r="L140" i="24"/>
  <c r="L139" i="24"/>
  <c r="L142" i="24"/>
  <c r="J143" i="24"/>
  <c r="J139" i="24"/>
  <c r="J142" i="24"/>
  <c r="J141" i="24"/>
  <c r="J140" i="24"/>
  <c r="F135" i="24"/>
  <c r="F143" i="24"/>
  <c r="F139" i="24"/>
  <c r="F142" i="24"/>
  <c r="F141" i="24"/>
  <c r="F140" i="24"/>
  <c r="O140" i="21"/>
  <c r="O139" i="21"/>
  <c r="O138" i="21"/>
  <c r="O142" i="21"/>
  <c r="C135" i="21"/>
  <c r="C141" i="21"/>
  <c r="C140" i="21"/>
  <c r="C139" i="21"/>
  <c r="C138" i="21"/>
  <c r="C142" i="21"/>
  <c r="D135" i="21"/>
  <c r="D139" i="21"/>
  <c r="D138" i="21"/>
  <c r="D140" i="21"/>
  <c r="D142" i="21"/>
  <c r="D141" i="21"/>
  <c r="O135" i="18"/>
  <c r="O143" i="18"/>
  <c r="O138" i="18"/>
  <c r="O140" i="18"/>
  <c r="O142" i="18"/>
  <c r="O139" i="18"/>
  <c r="O141" i="18"/>
  <c r="E136" i="36"/>
  <c r="E135" i="36"/>
  <c r="M136" i="30"/>
  <c r="P135" i="30"/>
  <c r="P143" i="24"/>
  <c r="Q143" i="24"/>
  <c r="H128" i="38"/>
  <c r="I128" i="38"/>
  <c r="F135" i="30"/>
  <c r="G135" i="30"/>
  <c r="I135" i="30"/>
  <c r="G135" i="36"/>
  <c r="K135" i="36"/>
  <c r="M135" i="36"/>
  <c r="H135" i="36"/>
  <c r="O135" i="36"/>
  <c r="J135" i="36"/>
  <c r="F135" i="36"/>
  <c r="I135" i="36"/>
  <c r="L136" i="30"/>
  <c r="K136" i="30"/>
  <c r="J136" i="30"/>
  <c r="O135" i="30"/>
  <c r="F138" i="30"/>
  <c r="D287" i="38"/>
  <c r="O291" i="33"/>
  <c r="P138" i="33"/>
  <c r="P298" i="33" s="1"/>
  <c r="P131" i="33"/>
  <c r="C110" i="32"/>
  <c r="G110" i="32" s="1"/>
  <c r="D291" i="33"/>
  <c r="N140" i="24"/>
  <c r="N135" i="24"/>
  <c r="J138" i="24"/>
  <c r="J135" i="24"/>
  <c r="P142" i="24"/>
  <c r="P135" i="24"/>
  <c r="K138" i="24"/>
  <c r="C119" i="24"/>
  <c r="G119" i="24" s="1"/>
  <c r="M139" i="24"/>
  <c r="C112" i="24"/>
  <c r="G112" i="24" s="1"/>
  <c r="F138" i="24"/>
  <c r="L138" i="24"/>
  <c r="I138" i="24"/>
  <c r="C114" i="24"/>
  <c r="G114" i="24" s="1"/>
  <c r="H138" i="24"/>
  <c r="C120" i="24"/>
  <c r="G120" i="24" s="1"/>
  <c r="C121" i="24"/>
  <c r="G121" i="24" s="1"/>
  <c r="C122" i="24"/>
  <c r="G122" i="24" s="1"/>
  <c r="C119" i="30"/>
  <c r="G119" i="30" s="1"/>
  <c r="C113" i="30"/>
  <c r="G113" i="30" s="1"/>
  <c r="C122" i="30"/>
  <c r="G122" i="30" s="1"/>
  <c r="C115" i="30"/>
  <c r="G115" i="30" s="1"/>
  <c r="C112" i="30"/>
  <c r="C118" i="30"/>
  <c r="G118" i="30" s="1"/>
  <c r="C117" i="30"/>
  <c r="G117" i="30" s="1"/>
  <c r="C116" i="30"/>
  <c r="G116" i="30" s="1"/>
  <c r="C121" i="30"/>
  <c r="G121" i="30" s="1"/>
  <c r="C114" i="30"/>
  <c r="G114" i="30" s="1"/>
  <c r="H124" i="33"/>
  <c r="O138" i="33"/>
  <c r="C287" i="38"/>
  <c r="H117" i="38"/>
  <c r="H127" i="38"/>
  <c r="H119" i="33"/>
  <c r="K131" i="33"/>
  <c r="K291" i="33" s="1"/>
  <c r="N287" i="38"/>
  <c r="C118" i="24"/>
  <c r="G118" i="24" s="1"/>
  <c r="C115" i="24"/>
  <c r="G115" i="24" s="1"/>
  <c r="F128" i="38"/>
  <c r="G128" i="38"/>
  <c r="K128" i="38"/>
  <c r="M129" i="38"/>
  <c r="J128" i="38"/>
  <c r="F131" i="33"/>
  <c r="N131" i="33"/>
  <c r="G131" i="33"/>
  <c r="H117" i="33"/>
  <c r="J131" i="33"/>
  <c r="H125" i="33"/>
  <c r="E291" i="33"/>
  <c r="H114" i="33"/>
  <c r="H116" i="33"/>
  <c r="L131" i="33"/>
  <c r="H121" i="33"/>
  <c r="H118" i="33"/>
  <c r="I291" i="33"/>
  <c r="H291" i="33"/>
  <c r="M291" i="33"/>
  <c r="Q136" i="21"/>
  <c r="G111" i="21"/>
  <c r="G109" i="21"/>
  <c r="J288" i="38" l="1"/>
  <c r="K288" i="38"/>
  <c r="G288" i="38"/>
  <c r="F288" i="38"/>
  <c r="Q128" i="38"/>
  <c r="I288" i="38"/>
  <c r="H288" i="38"/>
  <c r="P137" i="36"/>
  <c r="C122" i="36"/>
  <c r="G122" i="36" s="1"/>
  <c r="G136" i="36"/>
  <c r="C113" i="36"/>
  <c r="G113" i="36" s="1"/>
  <c r="I136" i="36"/>
  <c r="C115" i="36"/>
  <c r="G115" i="36" s="1"/>
  <c r="K136" i="36"/>
  <c r="C117" i="36"/>
  <c r="G117" i="36" s="1"/>
  <c r="M136" i="36"/>
  <c r="C119" i="36"/>
  <c r="G119" i="36" s="1"/>
  <c r="O137" i="36"/>
  <c r="C121" i="36"/>
  <c r="G121" i="36" s="1"/>
  <c r="F136" i="36"/>
  <c r="C112" i="36"/>
  <c r="H136" i="36"/>
  <c r="C114" i="36"/>
  <c r="G114" i="36" s="1"/>
  <c r="J136" i="36"/>
  <c r="C116" i="36"/>
  <c r="G116" i="36" s="1"/>
  <c r="L136" i="36"/>
  <c r="C118" i="36"/>
  <c r="G118" i="36" s="1"/>
  <c r="N136" i="36"/>
  <c r="C120" i="36"/>
  <c r="G120" i="36" s="1"/>
  <c r="C120" i="30"/>
  <c r="G120" i="30" s="1"/>
  <c r="N137" i="30"/>
  <c r="Q136" i="30"/>
  <c r="C113" i="18"/>
  <c r="G113" i="18" s="1"/>
  <c r="G137" i="18"/>
  <c r="C116" i="18"/>
  <c r="G116" i="18" s="1"/>
  <c r="J137" i="18"/>
  <c r="C114" i="18"/>
  <c r="G114" i="18" s="1"/>
  <c r="H137" i="18"/>
  <c r="C122" i="18"/>
  <c r="G122" i="18" s="1"/>
  <c r="P137" i="18"/>
  <c r="C119" i="18"/>
  <c r="G119" i="18" s="1"/>
  <c r="M137" i="18"/>
  <c r="C120" i="18"/>
  <c r="G120" i="18" s="1"/>
  <c r="N137" i="18"/>
  <c r="C112" i="18"/>
  <c r="G112" i="18" s="1"/>
  <c r="F136" i="18"/>
  <c r="C115" i="18"/>
  <c r="G115" i="18" s="1"/>
  <c r="I137" i="18"/>
  <c r="C117" i="18"/>
  <c r="G117" i="18" s="1"/>
  <c r="K137" i="18"/>
  <c r="C118" i="18"/>
  <c r="G118" i="18" s="1"/>
  <c r="L137" i="18"/>
  <c r="L23" i="60"/>
  <c r="P23" i="60" s="1"/>
  <c r="M289" i="38"/>
  <c r="Q129" i="38"/>
  <c r="Q137" i="36"/>
  <c r="L14" i="60"/>
  <c r="P14" i="60" s="1"/>
  <c r="Q135" i="33"/>
  <c r="M296" i="33"/>
  <c r="M297" i="33"/>
  <c r="I298" i="33"/>
  <c r="I294" i="33"/>
  <c r="I295" i="33"/>
  <c r="F296" i="33"/>
  <c r="F297" i="33"/>
  <c r="G296" i="33"/>
  <c r="G297" i="33"/>
  <c r="G298" i="33"/>
  <c r="L298" i="33"/>
  <c r="L294" i="33"/>
  <c r="L295" i="33"/>
  <c r="E298" i="33"/>
  <c r="E294" i="33"/>
  <c r="Q134" i="33"/>
  <c r="E295" i="33"/>
  <c r="P296" i="33"/>
  <c r="P297" i="33"/>
  <c r="J296" i="33"/>
  <c r="J297" i="33"/>
  <c r="N296" i="33"/>
  <c r="N297" i="33"/>
  <c r="O296" i="33"/>
  <c r="O297" i="33"/>
  <c r="K296" i="33"/>
  <c r="K297" i="33"/>
  <c r="K298" i="33"/>
  <c r="H296" i="33"/>
  <c r="H297" i="33"/>
  <c r="M298" i="33"/>
  <c r="M294" i="33"/>
  <c r="M295" i="33"/>
  <c r="I296" i="33"/>
  <c r="I297" i="33"/>
  <c r="F298" i="33"/>
  <c r="F294" i="33"/>
  <c r="F295" i="33"/>
  <c r="G294" i="33"/>
  <c r="G295" i="33"/>
  <c r="L296" i="33"/>
  <c r="L297" i="33"/>
  <c r="E296" i="33"/>
  <c r="Q136" i="33"/>
  <c r="E297" i="33"/>
  <c r="Q139" i="33"/>
  <c r="P294" i="33"/>
  <c r="P295" i="33"/>
  <c r="J298" i="33"/>
  <c r="J294" i="33"/>
  <c r="J295" i="33"/>
  <c r="N298" i="33"/>
  <c r="N294" i="33"/>
  <c r="N295" i="33"/>
  <c r="O294" i="33"/>
  <c r="O295" i="33"/>
  <c r="K294" i="33"/>
  <c r="K295" i="33"/>
  <c r="H298" i="33"/>
  <c r="H294" i="33"/>
  <c r="H295" i="33"/>
  <c r="J130" i="38"/>
  <c r="J134" i="38"/>
  <c r="J132" i="38"/>
  <c r="J131" i="38"/>
  <c r="J133" i="38"/>
  <c r="K127" i="38"/>
  <c r="K131" i="38"/>
  <c r="K133" i="38"/>
  <c r="K130" i="38"/>
  <c r="K134" i="38"/>
  <c r="K132" i="38"/>
  <c r="F127" i="38"/>
  <c r="F130" i="38"/>
  <c r="F133" i="38"/>
  <c r="F134" i="38"/>
  <c r="F132" i="38"/>
  <c r="F131" i="38"/>
  <c r="I133" i="38"/>
  <c r="I131" i="38"/>
  <c r="I130" i="38"/>
  <c r="I134" i="38"/>
  <c r="I132" i="38"/>
  <c r="M127" i="38"/>
  <c r="M132" i="38"/>
  <c r="M131" i="38"/>
  <c r="M133" i="38"/>
  <c r="M130" i="38"/>
  <c r="M134" i="38"/>
  <c r="G130" i="38"/>
  <c r="G132" i="38"/>
  <c r="G134" i="38"/>
  <c r="G133" i="38"/>
  <c r="G131" i="38"/>
  <c r="H132" i="38"/>
  <c r="H133" i="38"/>
  <c r="H134" i="38"/>
  <c r="H130" i="38"/>
  <c r="H131" i="38"/>
  <c r="G143" i="36"/>
  <c r="G140" i="36"/>
  <c r="G142" i="36"/>
  <c r="G141" i="36"/>
  <c r="G138" i="36"/>
  <c r="G139" i="36"/>
  <c r="K143" i="36"/>
  <c r="K140" i="36"/>
  <c r="K141" i="36"/>
  <c r="K138" i="36"/>
  <c r="K142" i="36"/>
  <c r="K139" i="36"/>
  <c r="O143" i="36"/>
  <c r="O140" i="36"/>
  <c r="O138" i="36"/>
  <c r="O142" i="36"/>
  <c r="O139" i="36"/>
  <c r="O141" i="36"/>
  <c r="H143" i="36"/>
  <c r="H138" i="36"/>
  <c r="H142" i="36"/>
  <c r="H139" i="36"/>
  <c r="H141" i="36"/>
  <c r="H140" i="36"/>
  <c r="L143" i="36"/>
  <c r="L142" i="36"/>
  <c r="L139" i="36"/>
  <c r="L141" i="36"/>
  <c r="L140" i="36"/>
  <c r="P143" i="36"/>
  <c r="P141" i="36"/>
  <c r="P138" i="36"/>
  <c r="P140" i="36"/>
  <c r="P139" i="36"/>
  <c r="I143" i="36"/>
  <c r="I138" i="36"/>
  <c r="I142" i="36"/>
  <c r="I139" i="36"/>
  <c r="I140" i="36"/>
  <c r="I141" i="36"/>
  <c r="M143" i="36"/>
  <c r="M138" i="36"/>
  <c r="M142" i="36"/>
  <c r="M139" i="36"/>
  <c r="M140" i="36"/>
  <c r="M141" i="36"/>
  <c r="F143" i="36"/>
  <c r="F140" i="36"/>
  <c r="F138" i="36"/>
  <c r="F142" i="36"/>
  <c r="F139" i="36"/>
  <c r="F141" i="36"/>
  <c r="J143" i="36"/>
  <c r="J140" i="36"/>
  <c r="J138" i="36"/>
  <c r="J142" i="36"/>
  <c r="J139" i="36"/>
  <c r="J141" i="36"/>
  <c r="N143" i="36"/>
  <c r="N138" i="36"/>
  <c r="N140" i="36"/>
  <c r="N142" i="36"/>
  <c r="N141" i="36"/>
  <c r="E135" i="32"/>
  <c r="E143" i="32"/>
  <c r="D143" i="32"/>
  <c r="E138" i="32"/>
  <c r="D139" i="32"/>
  <c r="E139" i="32"/>
  <c r="D141" i="32"/>
  <c r="D138" i="32"/>
  <c r="D140" i="32"/>
  <c r="E140" i="32"/>
  <c r="D142" i="32"/>
  <c r="E142" i="32"/>
  <c r="E141" i="32"/>
  <c r="C143" i="32"/>
  <c r="C140" i="32"/>
  <c r="C142" i="32"/>
  <c r="C141" i="32"/>
  <c r="C138" i="32"/>
  <c r="C139" i="32"/>
  <c r="N135" i="30"/>
  <c r="N143" i="30"/>
  <c r="N138" i="30"/>
  <c r="N142" i="30"/>
  <c r="N141" i="30"/>
  <c r="N140" i="30"/>
  <c r="N139" i="30"/>
  <c r="K135" i="30"/>
  <c r="K143" i="30"/>
  <c r="K138" i="30"/>
  <c r="K140" i="30"/>
  <c r="K142" i="30"/>
  <c r="K139" i="30"/>
  <c r="K141" i="30"/>
  <c r="M135" i="30"/>
  <c r="M143" i="30"/>
  <c r="M139" i="30"/>
  <c r="M141" i="30"/>
  <c r="M138" i="30"/>
  <c r="M140" i="30"/>
  <c r="M142" i="30"/>
  <c r="I143" i="30"/>
  <c r="I139" i="30"/>
  <c r="I141" i="30"/>
  <c r="I138" i="30"/>
  <c r="I140" i="30"/>
  <c r="I142" i="30"/>
  <c r="F143" i="30"/>
  <c r="F141" i="30"/>
  <c r="F140" i="30"/>
  <c r="F142" i="30"/>
  <c r="F139" i="30"/>
  <c r="O143" i="30"/>
  <c r="O138" i="30"/>
  <c r="O140" i="30"/>
  <c r="O142" i="30"/>
  <c r="O139" i="30"/>
  <c r="O141" i="30"/>
  <c r="J135" i="30"/>
  <c r="J143" i="30"/>
  <c r="J138" i="30"/>
  <c r="J140" i="30"/>
  <c r="J142" i="30"/>
  <c r="J139" i="30"/>
  <c r="J141" i="30"/>
  <c r="L135" i="30"/>
  <c r="L143" i="30"/>
  <c r="L138" i="30"/>
  <c r="L140" i="30"/>
  <c r="L142" i="30"/>
  <c r="L139" i="30"/>
  <c r="L141" i="30"/>
  <c r="G143" i="30"/>
  <c r="G138" i="30"/>
  <c r="G140" i="30"/>
  <c r="G142" i="30"/>
  <c r="G139" i="30"/>
  <c r="G141" i="30"/>
  <c r="P143" i="30"/>
  <c r="P140" i="30"/>
  <c r="P139" i="30"/>
  <c r="P141" i="30"/>
  <c r="P138" i="30"/>
  <c r="P142" i="30"/>
  <c r="H143" i="30"/>
  <c r="H140" i="30"/>
  <c r="H139" i="30"/>
  <c r="H141" i="30"/>
  <c r="H138" i="30"/>
  <c r="H142" i="30"/>
  <c r="H135" i="21"/>
  <c r="H139" i="21"/>
  <c r="H138" i="21"/>
  <c r="H140" i="21"/>
  <c r="H142" i="21"/>
  <c r="H141" i="21"/>
  <c r="N135" i="21"/>
  <c r="N141" i="21"/>
  <c r="N139" i="21"/>
  <c r="N138" i="21"/>
  <c r="N140" i="21"/>
  <c r="N142" i="21"/>
  <c r="P139" i="21"/>
  <c r="P141" i="21"/>
  <c r="P138" i="21"/>
  <c r="P142" i="21"/>
  <c r="P140" i="21"/>
  <c r="M135" i="21"/>
  <c r="M139" i="21"/>
  <c r="M138" i="21"/>
  <c r="M142" i="21"/>
  <c r="M141" i="21"/>
  <c r="M140" i="21"/>
  <c r="K135" i="21"/>
  <c r="K141" i="21"/>
  <c r="K140" i="21"/>
  <c r="K139" i="21"/>
  <c r="K138" i="21"/>
  <c r="K142" i="21"/>
  <c r="I135" i="21"/>
  <c r="I139" i="21"/>
  <c r="I138" i="21"/>
  <c r="I142" i="21"/>
  <c r="I141" i="21"/>
  <c r="I140" i="21"/>
  <c r="G135" i="21"/>
  <c r="G141" i="21"/>
  <c r="G140" i="21"/>
  <c r="G139" i="21"/>
  <c r="G138" i="21"/>
  <c r="G142" i="21"/>
  <c r="J135" i="21"/>
  <c r="J141" i="21"/>
  <c r="J139" i="21"/>
  <c r="J138" i="21"/>
  <c r="J140" i="21"/>
  <c r="J142" i="21"/>
  <c r="L135" i="21"/>
  <c r="L139" i="21"/>
  <c r="L138" i="21"/>
  <c r="L140" i="21"/>
  <c r="L142" i="21"/>
  <c r="L141" i="21"/>
  <c r="F135" i="21"/>
  <c r="F141" i="21"/>
  <c r="F139" i="21"/>
  <c r="F138" i="21"/>
  <c r="F140" i="21"/>
  <c r="F142" i="21"/>
  <c r="E135" i="21"/>
  <c r="E139" i="21"/>
  <c r="E138" i="21"/>
  <c r="E142" i="21"/>
  <c r="E141" i="21"/>
  <c r="E140" i="21"/>
  <c r="G135" i="18"/>
  <c r="G143" i="18"/>
  <c r="G138" i="18"/>
  <c r="G140" i="18"/>
  <c r="G142" i="18"/>
  <c r="G139" i="18"/>
  <c r="G141" i="18"/>
  <c r="J135" i="18"/>
  <c r="J143" i="18"/>
  <c r="J138" i="18"/>
  <c r="J140" i="18"/>
  <c r="J142" i="18"/>
  <c r="J139" i="18"/>
  <c r="J141" i="18"/>
  <c r="H135" i="18"/>
  <c r="H143" i="18"/>
  <c r="H138" i="18"/>
  <c r="H140" i="18"/>
  <c r="H142" i="18"/>
  <c r="H139" i="18"/>
  <c r="H141" i="18"/>
  <c r="P143" i="18"/>
  <c r="P138" i="18"/>
  <c r="P140" i="18"/>
  <c r="P142" i="18"/>
  <c r="P139" i="18"/>
  <c r="P141" i="18"/>
  <c r="M135" i="18"/>
  <c r="M143" i="18"/>
  <c r="M138" i="18"/>
  <c r="M140" i="18"/>
  <c r="M142" i="18"/>
  <c r="M139" i="18"/>
  <c r="M141" i="18"/>
  <c r="N135" i="18"/>
  <c r="N143" i="18"/>
  <c r="N138" i="18"/>
  <c r="N140" i="18"/>
  <c r="N142" i="18"/>
  <c r="N139" i="18"/>
  <c r="N141" i="18"/>
  <c r="F135" i="18"/>
  <c r="F143" i="18"/>
  <c r="F138" i="18"/>
  <c r="F140" i="18"/>
  <c r="F142" i="18"/>
  <c r="F139" i="18"/>
  <c r="F141" i="18"/>
  <c r="I135" i="18"/>
  <c r="I143" i="18"/>
  <c r="I138" i="18"/>
  <c r="I140" i="18"/>
  <c r="I142" i="18"/>
  <c r="I139" i="18"/>
  <c r="I141" i="18"/>
  <c r="K135" i="18"/>
  <c r="K143" i="18"/>
  <c r="K138" i="18"/>
  <c r="K140" i="18"/>
  <c r="K142" i="18"/>
  <c r="K139" i="18"/>
  <c r="K141" i="18"/>
  <c r="L135" i="18"/>
  <c r="L143" i="18"/>
  <c r="L138" i="18"/>
  <c r="L140" i="18"/>
  <c r="L142" i="18"/>
  <c r="L139" i="18"/>
  <c r="L141" i="18"/>
  <c r="L117" i="38"/>
  <c r="C132" i="38"/>
  <c r="P142" i="36"/>
  <c r="P135" i="36"/>
  <c r="N139" i="36"/>
  <c r="N135" i="36"/>
  <c r="L138" i="36"/>
  <c r="L135" i="36"/>
  <c r="O141" i="21"/>
  <c r="O135" i="21"/>
  <c r="P135" i="18"/>
  <c r="Q143" i="18"/>
  <c r="D135" i="32"/>
  <c r="Q135" i="30"/>
  <c r="M287" i="38"/>
  <c r="Q138" i="24"/>
  <c r="P291" i="33"/>
  <c r="C111" i="32"/>
  <c r="G111" i="32" s="1"/>
  <c r="C109" i="32"/>
  <c r="G109" i="32" s="1"/>
  <c r="C135" i="32"/>
  <c r="N291" i="33"/>
  <c r="T380" i="40"/>
  <c r="Q135" i="24"/>
  <c r="P135" i="21"/>
  <c r="C123" i="24"/>
  <c r="Q142" i="24"/>
  <c r="Q141" i="24"/>
  <c r="Q140" i="24"/>
  <c r="Q138" i="30"/>
  <c r="Q139" i="30"/>
  <c r="G112" i="30"/>
  <c r="C123" i="30"/>
  <c r="Q138" i="33"/>
  <c r="O298" i="33"/>
  <c r="K136" i="32"/>
  <c r="P137" i="32"/>
  <c r="H120" i="38"/>
  <c r="L120" i="38" s="1"/>
  <c r="H116" i="38"/>
  <c r="G127" i="38"/>
  <c r="H121" i="38"/>
  <c r="L121" i="38" s="1"/>
  <c r="H119" i="38"/>
  <c r="J127" i="38"/>
  <c r="H118" i="38"/>
  <c r="I127" i="38"/>
  <c r="H287" i="38"/>
  <c r="L287" i="38"/>
  <c r="E287" i="38"/>
  <c r="F287" i="38"/>
  <c r="H115" i="38"/>
  <c r="Q139" i="24"/>
  <c r="C123" i="18"/>
  <c r="F291" i="33"/>
  <c r="G291" i="33"/>
  <c r="H126" i="33"/>
  <c r="J291" i="33"/>
  <c r="L291" i="33"/>
  <c r="C117" i="32"/>
  <c r="G117" i="32" s="1"/>
  <c r="C122" i="32"/>
  <c r="G122" i="32" s="1"/>
  <c r="Q137" i="21"/>
  <c r="G115" i="21"/>
  <c r="G122" i="21"/>
  <c r="G113" i="21"/>
  <c r="G121" i="21"/>
  <c r="G119" i="21"/>
  <c r="G117" i="21"/>
  <c r="G114" i="21"/>
  <c r="G120" i="21"/>
  <c r="G116" i="21"/>
  <c r="G118" i="21"/>
  <c r="G112" i="21"/>
  <c r="L142" i="8"/>
  <c r="G112" i="36" l="1"/>
  <c r="C123" i="36"/>
  <c r="Q136" i="36"/>
  <c r="Q137" i="30"/>
  <c r="L16" i="60"/>
  <c r="P16" i="60" s="1"/>
  <c r="C125" i="30"/>
  <c r="L15" i="60"/>
  <c r="P15" i="60" s="1"/>
  <c r="C125" i="24"/>
  <c r="C125" i="18"/>
  <c r="L12" i="60"/>
  <c r="P12" i="60" s="1"/>
  <c r="H291" i="38"/>
  <c r="H294" i="38"/>
  <c r="H292" i="38"/>
  <c r="G293" i="38"/>
  <c r="G292" i="38"/>
  <c r="M293" i="38"/>
  <c r="M292" i="38"/>
  <c r="I292" i="38"/>
  <c r="I290" i="38"/>
  <c r="I293" i="38"/>
  <c r="F292" i="38"/>
  <c r="F293" i="38"/>
  <c r="K294" i="38"/>
  <c r="K293" i="38"/>
  <c r="J291" i="38"/>
  <c r="J294" i="38"/>
  <c r="H290" i="38"/>
  <c r="H293" i="38"/>
  <c r="G291" i="38"/>
  <c r="G294" i="38"/>
  <c r="G290" i="38"/>
  <c r="M290" i="38"/>
  <c r="M291" i="38"/>
  <c r="I294" i="38"/>
  <c r="I291" i="38"/>
  <c r="F291" i="38"/>
  <c r="F294" i="38"/>
  <c r="F290" i="38"/>
  <c r="K292" i="38"/>
  <c r="K290" i="38"/>
  <c r="K291" i="38"/>
  <c r="J293" i="38"/>
  <c r="J292" i="38"/>
  <c r="J290" i="38"/>
  <c r="C130" i="18"/>
  <c r="E132" i="18" s="1"/>
  <c r="Q138" i="36"/>
  <c r="Q141" i="36"/>
  <c r="Q140" i="36"/>
  <c r="Q143" i="36"/>
  <c r="P135" i="32"/>
  <c r="P138" i="32"/>
  <c r="P139" i="32"/>
  <c r="P143" i="32"/>
  <c r="P140" i="32"/>
  <c r="P142" i="32"/>
  <c r="P141" i="32"/>
  <c r="K143" i="32"/>
  <c r="K138" i="32"/>
  <c r="K140" i="32"/>
  <c r="K142" i="32"/>
  <c r="K141" i="32"/>
  <c r="K139" i="32"/>
  <c r="Q142" i="30"/>
  <c r="Q141" i="30"/>
  <c r="Q140" i="30"/>
  <c r="Q143" i="30"/>
  <c r="Q132" i="38"/>
  <c r="C292" i="38"/>
  <c r="L115" i="38"/>
  <c r="C130" i="38"/>
  <c r="L118" i="38"/>
  <c r="C133" i="38"/>
  <c r="L119" i="38"/>
  <c r="C134" i="38"/>
  <c r="Q134" i="38" s="1"/>
  <c r="L116" i="38"/>
  <c r="C131" i="38"/>
  <c r="V100" i="15"/>
  <c r="Q139" i="36"/>
  <c r="Q142" i="36"/>
  <c r="Q135" i="36"/>
  <c r="Q135" i="18"/>
  <c r="Q144" i="24"/>
  <c r="I287" i="38"/>
  <c r="Q135" i="21"/>
  <c r="K135" i="32"/>
  <c r="C130" i="30"/>
  <c r="E132" i="30" s="1"/>
  <c r="H122" i="38"/>
  <c r="J287" i="38"/>
  <c r="M294" i="38"/>
  <c r="Q127" i="38"/>
  <c r="G287" i="38"/>
  <c r="K287" i="38"/>
  <c r="H127" i="33"/>
  <c r="C130" i="24"/>
  <c r="E132" i="24" s="1"/>
  <c r="J126" i="33"/>
  <c r="Q131" i="33"/>
  <c r="Q140" i="21"/>
  <c r="Q139" i="21"/>
  <c r="Q141" i="21"/>
  <c r="Q142" i="21"/>
  <c r="C123" i="21"/>
  <c r="Q138" i="21"/>
  <c r="B145" i="14"/>
  <c r="B144" i="14"/>
  <c r="B143" i="14"/>
  <c r="B142" i="14"/>
  <c r="B141" i="14"/>
  <c r="B140" i="14"/>
  <c r="B139" i="14"/>
  <c r="B312" i="8"/>
  <c r="B316" i="8"/>
  <c r="B317" i="8"/>
  <c r="B318" i="8"/>
  <c r="B102" i="15"/>
  <c r="G304" i="8"/>
  <c r="G289" i="8"/>
  <c r="B315" i="8"/>
  <c r="B314" i="8"/>
  <c r="B313" i="8"/>
  <c r="B131" i="7"/>
  <c r="B132" i="7"/>
  <c r="B138" i="7"/>
  <c r="B137" i="7"/>
  <c r="B136" i="7"/>
  <c r="B135" i="7"/>
  <c r="B134" i="7"/>
  <c r="B133" i="7"/>
  <c r="L272" i="8"/>
  <c r="R272" i="8"/>
  <c r="Q137" i="33"/>
  <c r="L214" i="8"/>
  <c r="J123" i="7" s="1"/>
  <c r="L197" i="8"/>
  <c r="J122" i="7" s="1"/>
  <c r="L171" i="8"/>
  <c r="C125" i="36" l="1"/>
  <c r="C130" i="36" s="1"/>
  <c r="E132" i="36" s="1"/>
  <c r="I136" i="32"/>
  <c r="C115" i="32"/>
  <c r="G115" i="32" s="1"/>
  <c r="J136" i="32"/>
  <c r="C116" i="32"/>
  <c r="G116" i="32" s="1"/>
  <c r="L136" i="32"/>
  <c r="C118" i="32"/>
  <c r="G118" i="32" s="1"/>
  <c r="M136" i="32"/>
  <c r="C119" i="32"/>
  <c r="G119" i="32" s="1"/>
  <c r="G136" i="32"/>
  <c r="C113" i="32"/>
  <c r="G113" i="32" s="1"/>
  <c r="F136" i="32"/>
  <c r="C112" i="32"/>
  <c r="H136" i="32"/>
  <c r="C114" i="32"/>
  <c r="G114" i="32" s="1"/>
  <c r="O137" i="32"/>
  <c r="C121" i="32"/>
  <c r="G121" i="32" s="1"/>
  <c r="N136" i="32"/>
  <c r="C120" i="32"/>
  <c r="G120" i="32" s="1"/>
  <c r="L22" i="60"/>
  <c r="P22" i="60" s="1"/>
  <c r="L18" i="60"/>
  <c r="P18" i="60" s="1"/>
  <c r="L13" i="60"/>
  <c r="P13" i="60" s="1"/>
  <c r="Q144" i="36"/>
  <c r="I143" i="32"/>
  <c r="I139" i="32"/>
  <c r="I140" i="32"/>
  <c r="I142" i="32"/>
  <c r="I141" i="32"/>
  <c r="L135" i="32"/>
  <c r="L143" i="32"/>
  <c r="L138" i="32"/>
  <c r="L142" i="32"/>
  <c r="L139" i="32"/>
  <c r="L141" i="32"/>
  <c r="L140" i="32"/>
  <c r="G135" i="32"/>
  <c r="G143" i="32"/>
  <c r="G140" i="32"/>
  <c r="G142" i="32"/>
  <c r="G141" i="32"/>
  <c r="G138" i="32"/>
  <c r="G139" i="32"/>
  <c r="H135" i="32"/>
  <c r="H143" i="32"/>
  <c r="H142" i="32"/>
  <c r="H139" i="32"/>
  <c r="H141" i="32"/>
  <c r="H138" i="32"/>
  <c r="H140" i="32"/>
  <c r="O143" i="32"/>
  <c r="O138" i="32"/>
  <c r="O140" i="32"/>
  <c r="O142" i="32"/>
  <c r="O141" i="32"/>
  <c r="O139" i="32"/>
  <c r="J143" i="32"/>
  <c r="J140" i="32"/>
  <c r="J142" i="32"/>
  <c r="J139" i="32"/>
  <c r="J141" i="32"/>
  <c r="M135" i="32"/>
  <c r="M143" i="32"/>
  <c r="M139" i="32"/>
  <c r="M138" i="32"/>
  <c r="M140" i="32"/>
  <c r="M142" i="32"/>
  <c r="M141" i="32"/>
  <c r="F135" i="32"/>
  <c r="F143" i="32"/>
  <c r="F138" i="32"/>
  <c r="F140" i="32"/>
  <c r="F142" i="32"/>
  <c r="F139" i="32"/>
  <c r="F141" i="32"/>
  <c r="N135" i="32"/>
  <c r="N143" i="32"/>
  <c r="N140" i="32"/>
  <c r="N142" i="32"/>
  <c r="N138" i="32"/>
  <c r="N139" i="32"/>
  <c r="N141" i="32"/>
  <c r="Q144" i="30"/>
  <c r="C125" i="21"/>
  <c r="C130" i="21" s="1"/>
  <c r="E132" i="21" s="1"/>
  <c r="Q131" i="38"/>
  <c r="C291" i="38"/>
  <c r="C294" i="38"/>
  <c r="C293" i="38"/>
  <c r="Q133" i="38"/>
  <c r="Q130" i="38"/>
  <c r="C290" i="38"/>
  <c r="J112" i="7"/>
  <c r="S94" i="15"/>
  <c r="T94" i="15" s="1"/>
  <c r="S95" i="15" s="1"/>
  <c r="W100" i="15"/>
  <c r="H285" i="8"/>
  <c r="D133" i="7"/>
  <c r="C133" i="7"/>
  <c r="C132" i="7"/>
  <c r="Q140" i="33"/>
  <c r="I138" i="32"/>
  <c r="I135" i="32"/>
  <c r="J138" i="32"/>
  <c r="J135" i="32"/>
  <c r="H123" i="38"/>
  <c r="O135" i="32"/>
  <c r="D139" i="14"/>
  <c r="H139" i="14"/>
  <c r="J139" i="14"/>
  <c r="L139" i="14"/>
  <c r="N139" i="14"/>
  <c r="P139" i="14"/>
  <c r="C139" i="14"/>
  <c r="G139" i="14"/>
  <c r="I139" i="14"/>
  <c r="K139" i="14"/>
  <c r="M139" i="14"/>
  <c r="O139" i="14"/>
  <c r="D140" i="14"/>
  <c r="C140" i="14"/>
  <c r="E140" i="14"/>
  <c r="E127" i="14"/>
  <c r="E133" i="14" s="1"/>
  <c r="B279" i="8"/>
  <c r="B294" i="8"/>
  <c r="G298" i="8"/>
  <c r="Q137" i="32" l="1"/>
  <c r="G112" i="32"/>
  <c r="C123" i="32"/>
  <c r="Q136" i="32"/>
  <c r="D7" i="60"/>
  <c r="N10" i="60"/>
  <c r="Q141" i="32"/>
  <c r="Q142" i="32"/>
  <c r="Q139" i="32"/>
  <c r="Q140" i="32"/>
  <c r="Q143" i="32"/>
  <c r="Q136" i="38"/>
  <c r="W101" i="15"/>
  <c r="X100" i="15"/>
  <c r="Q138" i="32"/>
  <c r="Q135" i="32"/>
  <c r="C313" i="8"/>
  <c r="D314" i="8"/>
  <c r="W61" i="8"/>
  <c r="B50" i="8"/>
  <c r="J125" i="7"/>
  <c r="J115" i="7"/>
  <c r="J113" i="7"/>
  <c r="L17" i="60" l="1"/>
  <c r="P17" i="60" s="1"/>
  <c r="C125" i="32"/>
  <c r="C130" i="32" s="1"/>
  <c r="E132" i="32" s="1"/>
  <c r="W102" i="15"/>
  <c r="Q144" i="32"/>
  <c r="X102" i="15"/>
  <c r="G13" i="60" s="1"/>
  <c r="G11" i="60"/>
  <c r="X101" i="15"/>
  <c r="G12" i="60" s="1"/>
  <c r="I62" i="14"/>
  <c r="G65" i="14"/>
  <c r="G64" i="14"/>
  <c r="H88" i="14" s="1"/>
  <c r="K62" i="14"/>
  <c r="G62" i="14"/>
  <c r="H76" i="14" s="1" a="1"/>
  <c r="H76" i="14" s="1"/>
  <c r="G78" i="14" s="1"/>
  <c r="W103" i="15" l="1"/>
  <c r="X103" i="15"/>
  <c r="W104" i="15"/>
  <c r="J76" i="14" a="1"/>
  <c r="J76" i="14" s="1"/>
  <c r="I80" i="14" s="1"/>
  <c r="J80" i="14" s="1"/>
  <c r="J70" i="14"/>
  <c r="I74" i="14" s="1"/>
  <c r="J74" i="14" s="1"/>
  <c r="H70" i="14"/>
  <c r="L76" i="14"/>
  <c r="K80" i="14" s="1"/>
  <c r="L80" i="14" s="1"/>
  <c r="L70" i="14"/>
  <c r="G79" i="14"/>
  <c r="H79" i="14" s="1"/>
  <c r="G88" i="14"/>
  <c r="H94" i="14" s="1"/>
  <c r="L88" i="14"/>
  <c r="K105" i="14"/>
  <c r="J88" i="14"/>
  <c r="I105" i="14"/>
  <c r="G105" i="14"/>
  <c r="G14" i="60" l="1"/>
  <c r="W105" i="15"/>
  <c r="W106" i="15"/>
  <c r="X104" i="15"/>
  <c r="G15" i="60" s="1"/>
  <c r="I73" i="14"/>
  <c r="J73" i="14" s="1"/>
  <c r="I72" i="14"/>
  <c r="J72" i="14" s="1"/>
  <c r="K78" i="14"/>
  <c r="L78" i="14" s="1"/>
  <c r="K79" i="14"/>
  <c r="L79" i="14" s="1"/>
  <c r="K96" i="14"/>
  <c r="I79" i="14"/>
  <c r="J79" i="14" s="1"/>
  <c r="I78" i="14"/>
  <c r="J78" i="14" s="1"/>
  <c r="H78" i="14"/>
  <c r="G80" i="14"/>
  <c r="H80" i="14" s="1"/>
  <c r="J96" i="14"/>
  <c r="K74" i="14"/>
  <c r="L74" i="14" s="1"/>
  <c r="K72" i="14"/>
  <c r="L72" i="14" s="1"/>
  <c r="K73" i="14"/>
  <c r="L73" i="14" s="1"/>
  <c r="G74" i="14"/>
  <c r="H74" i="14" s="1"/>
  <c r="G73" i="14"/>
  <c r="H73" i="14" s="1"/>
  <c r="G72" i="14"/>
  <c r="H72" i="14" s="1"/>
  <c r="E123" i="14"/>
  <c r="L86" i="14"/>
  <c r="K86" i="14"/>
  <c r="L96" i="14"/>
  <c r="I96" i="14"/>
  <c r="K88" i="14"/>
  <c r="I88" i="14"/>
  <c r="H96" i="14"/>
  <c r="G96" i="14"/>
  <c r="G94" i="14"/>
  <c r="X105" i="15" l="1"/>
  <c r="G16" i="60" s="1"/>
  <c r="J86" i="14"/>
  <c r="X106" i="15"/>
  <c r="G17" i="60" s="1"/>
  <c r="W107" i="15"/>
  <c r="I86" i="14"/>
  <c r="H86" i="14"/>
  <c r="G86" i="14"/>
  <c r="G85" i="14"/>
  <c r="G93" i="14" s="1"/>
  <c r="H85" i="14"/>
  <c r="H93" i="14" s="1"/>
  <c r="I85" i="14"/>
  <c r="L85" i="14"/>
  <c r="L93" i="14" s="1"/>
  <c r="K85" i="14"/>
  <c r="K93" i="14" s="1"/>
  <c r="L94" i="14"/>
  <c r="K94" i="14"/>
  <c r="J94" i="14"/>
  <c r="I94" i="14"/>
  <c r="J85" i="14"/>
  <c r="J87" i="14" s="1"/>
  <c r="X107" i="15" l="1"/>
  <c r="G18" i="60" s="1"/>
  <c r="W108" i="15"/>
  <c r="I87" i="14"/>
  <c r="I95" i="14" s="1"/>
  <c r="H87" i="14"/>
  <c r="H95" i="14" s="1"/>
  <c r="H102" i="14" s="1"/>
  <c r="G87" i="14"/>
  <c r="G95" i="14" s="1"/>
  <c r="H98" i="14" s="1"/>
  <c r="K87" i="14"/>
  <c r="K95" i="14" s="1"/>
  <c r="L98" i="14" s="1"/>
  <c r="L87" i="14"/>
  <c r="L95" i="14" s="1"/>
  <c r="L102" i="14" s="1"/>
  <c r="J95" i="14"/>
  <c r="J93" i="14"/>
  <c r="I93" i="14"/>
  <c r="X108" i="15" l="1"/>
  <c r="G19" i="60" s="1"/>
  <c r="W109" i="15"/>
  <c r="H101" i="14"/>
  <c r="H99" i="14"/>
  <c r="H100" i="14"/>
  <c r="H105" i="14" s="1"/>
  <c r="J102" i="14"/>
  <c r="J98" i="14"/>
  <c r="L100" i="14"/>
  <c r="L99" i="14"/>
  <c r="L101" i="14"/>
  <c r="G62" i="7"/>
  <c r="J114" i="7"/>
  <c r="J120" i="7"/>
  <c r="J119" i="7"/>
  <c r="J118" i="7"/>
  <c r="J117" i="7"/>
  <c r="J116" i="7"/>
  <c r="X173" i="8"/>
  <c r="W173" i="8"/>
  <c r="X271" i="8"/>
  <c r="W271" i="8"/>
  <c r="X268" i="8"/>
  <c r="W268" i="8"/>
  <c r="X263" i="8"/>
  <c r="W263" i="8"/>
  <c r="X260" i="8"/>
  <c r="W260" i="8"/>
  <c r="X259" i="8"/>
  <c r="W259" i="8"/>
  <c r="X258" i="8"/>
  <c r="W258" i="8"/>
  <c r="X252" i="8"/>
  <c r="W252" i="8"/>
  <c r="X250" i="8"/>
  <c r="W250" i="8"/>
  <c r="X246" i="8"/>
  <c r="W246" i="8"/>
  <c r="X245" i="8"/>
  <c r="W245" i="8"/>
  <c r="X240" i="8"/>
  <c r="W240" i="8"/>
  <c r="X238" i="8"/>
  <c r="W238" i="8"/>
  <c r="X235" i="8"/>
  <c r="W235" i="8"/>
  <c r="X233" i="8"/>
  <c r="W233" i="8"/>
  <c r="X230" i="8"/>
  <c r="W230" i="8"/>
  <c r="X228" i="8"/>
  <c r="W228" i="8"/>
  <c r="X226" i="8"/>
  <c r="W226" i="8"/>
  <c r="X223" i="8"/>
  <c r="W223" i="8"/>
  <c r="X215" i="8"/>
  <c r="W215" i="8"/>
  <c r="X213" i="8"/>
  <c r="W213" i="8"/>
  <c r="X210" i="8"/>
  <c r="W210" i="8"/>
  <c r="X208" i="8"/>
  <c r="W208" i="8"/>
  <c r="X206" i="8"/>
  <c r="W206" i="8"/>
  <c r="X205" i="8"/>
  <c r="W205" i="8"/>
  <c r="X200" i="8"/>
  <c r="W200" i="8"/>
  <c r="X199" i="8"/>
  <c r="W199" i="8"/>
  <c r="X198" i="8"/>
  <c r="X214" i="8" s="1"/>
  <c r="W198" i="8"/>
  <c r="X193" i="8"/>
  <c r="W193" i="8"/>
  <c r="X183" i="8"/>
  <c r="W183" i="8"/>
  <c r="X181" i="8"/>
  <c r="W181" i="8"/>
  <c r="X178" i="8"/>
  <c r="W178" i="8"/>
  <c r="X172" i="8"/>
  <c r="X196" i="8" s="1"/>
  <c r="W172" i="8"/>
  <c r="X166" i="8"/>
  <c r="W166" i="8"/>
  <c r="X162" i="8"/>
  <c r="W162" i="8"/>
  <c r="X161" i="8"/>
  <c r="W161" i="8"/>
  <c r="X156" i="8"/>
  <c r="W156" i="8"/>
  <c r="X149" i="8"/>
  <c r="W149" i="8"/>
  <c r="X143" i="8"/>
  <c r="X140" i="8"/>
  <c r="W140" i="8"/>
  <c r="X139" i="8"/>
  <c r="W139" i="8"/>
  <c r="X133" i="8"/>
  <c r="W133" i="8"/>
  <c r="X127" i="8"/>
  <c r="W127" i="8"/>
  <c r="X126" i="8"/>
  <c r="W126" i="8"/>
  <c r="X124" i="8"/>
  <c r="W124" i="8"/>
  <c r="X123" i="8"/>
  <c r="W123" i="8"/>
  <c r="X122" i="8"/>
  <c r="W122" i="8"/>
  <c r="X119" i="8"/>
  <c r="W119" i="8"/>
  <c r="X105" i="8"/>
  <c r="W105" i="8"/>
  <c r="X93" i="8"/>
  <c r="X91" i="8"/>
  <c r="X89" i="8"/>
  <c r="X88" i="8"/>
  <c r="X85" i="8"/>
  <c r="X83" i="8"/>
  <c r="X80" i="8"/>
  <c r="X79" i="8"/>
  <c r="X77" i="8"/>
  <c r="X68" i="8"/>
  <c r="X66" i="8"/>
  <c r="X64" i="8"/>
  <c r="X63" i="8"/>
  <c r="X61" i="8"/>
  <c r="W93" i="8"/>
  <c r="W91" i="8"/>
  <c r="W89" i="8"/>
  <c r="W88" i="8"/>
  <c r="W85" i="8"/>
  <c r="W83" i="8"/>
  <c r="W80" i="8"/>
  <c r="W79" i="8"/>
  <c r="W77" i="8"/>
  <c r="W64" i="8"/>
  <c r="W68" i="8"/>
  <c r="W66" i="8"/>
  <c r="W63" i="8"/>
  <c r="I52" i="8"/>
  <c r="X109" i="15" l="1"/>
  <c r="G20" i="60"/>
  <c r="X272" i="8"/>
  <c r="W110" i="15"/>
  <c r="W196" i="8"/>
  <c r="I172" i="8" s="1"/>
  <c r="AD172" i="8" s="1"/>
  <c r="W261" i="8"/>
  <c r="X261" i="8"/>
  <c r="W75" i="8"/>
  <c r="W272" i="8"/>
  <c r="I263" i="8" s="1"/>
  <c r="AD263" i="8" s="1"/>
  <c r="X129" i="8"/>
  <c r="W129" i="8"/>
  <c r="I105" i="8" s="1"/>
  <c r="AD105" i="8" s="1"/>
  <c r="W214" i="8"/>
  <c r="I198" i="8" s="1"/>
  <c r="AD198" i="8" s="1"/>
  <c r="L105" i="14"/>
  <c r="J100" i="14"/>
  <c r="J99" i="14"/>
  <c r="J101" i="14"/>
  <c r="X75" i="8"/>
  <c r="J126" i="7"/>
  <c r="H300" i="8" s="1"/>
  <c r="I160" i="8"/>
  <c r="I149" i="8"/>
  <c r="I162" i="8"/>
  <c r="W141" i="8"/>
  <c r="I143" i="8"/>
  <c r="I156" i="8"/>
  <c r="I166" i="8"/>
  <c r="W101" i="8"/>
  <c r="I77" i="8" s="1"/>
  <c r="AD77" i="8" s="1"/>
  <c r="X101" i="8"/>
  <c r="W111" i="15" l="1"/>
  <c r="X110" i="15"/>
  <c r="G21" i="60" s="1"/>
  <c r="X111" i="15"/>
  <c r="G22" i="60" s="1"/>
  <c r="W112" i="15"/>
  <c r="I61" i="8"/>
  <c r="AD61" i="8" s="1"/>
  <c r="I133" i="8"/>
  <c r="AD133" i="8" s="1"/>
  <c r="J105" i="14"/>
  <c r="C138" i="14"/>
  <c r="P19" i="8"/>
  <c r="P21" i="8" s="1"/>
  <c r="P23" i="8" s="1"/>
  <c r="N11" i="8" s="1"/>
  <c r="L19" i="8"/>
  <c r="L21" i="8" s="1"/>
  <c r="L23" i="8" s="1"/>
  <c r="J11" i="8" s="1"/>
  <c r="N10" i="8"/>
  <c r="N9" i="8"/>
  <c r="J10" i="8"/>
  <c r="J9" i="8"/>
  <c r="W113" i="15" l="1"/>
  <c r="X112" i="15"/>
  <c r="G23" i="60" s="1"/>
  <c r="C146" i="14"/>
  <c r="C143" i="14"/>
  <c r="C145" i="14"/>
  <c r="C142" i="14"/>
  <c r="C144" i="14"/>
  <c r="C141" i="14"/>
  <c r="D146" i="14"/>
  <c r="D141" i="14"/>
  <c r="D142" i="14"/>
  <c r="D144" i="14"/>
  <c r="D143" i="14"/>
  <c r="D145" i="14"/>
  <c r="C109" i="14"/>
  <c r="D138" i="14"/>
  <c r="C110" i="14"/>
  <c r="G110" i="14" s="1"/>
  <c r="W116" i="15" l="1"/>
  <c r="W115" i="15"/>
  <c r="X116" i="15"/>
  <c r="X113" i="15"/>
  <c r="G24" i="60"/>
  <c r="C122" i="14"/>
  <c r="G122" i="14" s="1"/>
  <c r="Q136" i="18"/>
  <c r="K58" i="7"/>
  <c r="G27" i="60" l="1"/>
  <c r="X115" i="15"/>
  <c r="E146" i="14"/>
  <c r="E141" i="14"/>
  <c r="E142" i="14"/>
  <c r="E144" i="14"/>
  <c r="E143" i="14"/>
  <c r="E145" i="14"/>
  <c r="J140" i="14"/>
  <c r="J146" i="14"/>
  <c r="J143" i="14"/>
  <c r="J145" i="14"/>
  <c r="J142" i="14"/>
  <c r="J144" i="14"/>
  <c r="J141" i="14"/>
  <c r="P141" i="14"/>
  <c r="P142" i="14"/>
  <c r="P144" i="14"/>
  <c r="P145" i="14"/>
  <c r="P143" i="14"/>
  <c r="O146" i="14"/>
  <c r="O143" i="14"/>
  <c r="O145" i="14"/>
  <c r="O142" i="14"/>
  <c r="O141" i="14"/>
  <c r="P146" i="14"/>
  <c r="P140" i="14"/>
  <c r="C111" i="14"/>
  <c r="G111" i="14" s="1"/>
  <c r="E139" i="14"/>
  <c r="O138" i="14"/>
  <c r="O140" i="14"/>
  <c r="L76" i="7" a="1"/>
  <c r="L76" i="7" s="1"/>
  <c r="K79" i="7" s="1"/>
  <c r="L79" i="7" s="1"/>
  <c r="L68" i="7"/>
  <c r="K73" i="7" s="1"/>
  <c r="L73" i="7" s="1"/>
  <c r="K74" i="7"/>
  <c r="L74" i="7" s="1"/>
  <c r="K72" i="7"/>
  <c r="L72" i="7" s="1"/>
  <c r="K70" i="7"/>
  <c r="L70" i="7" s="1"/>
  <c r="F139" i="14"/>
  <c r="P138" i="14"/>
  <c r="E138" i="14"/>
  <c r="C117" i="14"/>
  <c r="G117" i="14" s="1"/>
  <c r="C118" i="14"/>
  <c r="G118" i="14" s="1"/>
  <c r="C120" i="14"/>
  <c r="G120" i="14" s="1"/>
  <c r="J138" i="14"/>
  <c r="C116" i="14"/>
  <c r="G116" i="14" s="1"/>
  <c r="H138" i="14"/>
  <c r="C114" i="14"/>
  <c r="G114" i="14" s="1"/>
  <c r="C115" i="14"/>
  <c r="G115" i="14" s="1"/>
  <c r="O144" i="14"/>
  <c r="C121" i="14"/>
  <c r="G121" i="14" s="1"/>
  <c r="F138" i="14"/>
  <c r="C112" i="14"/>
  <c r="G112" i="14" s="1"/>
  <c r="M138" i="14"/>
  <c r="Q137" i="18"/>
  <c r="Q142" i="18"/>
  <c r="Q138" i="18"/>
  <c r="Q139" i="18"/>
  <c r="Q140" i="18"/>
  <c r="Q141" i="18"/>
  <c r="G26" i="60" l="1"/>
  <c r="G25" i="60"/>
  <c r="G146" i="14"/>
  <c r="G143" i="14"/>
  <c r="G145" i="14"/>
  <c r="G142" i="14"/>
  <c r="G141" i="14"/>
  <c r="G144" i="14"/>
  <c r="L146" i="14"/>
  <c r="L141" i="14"/>
  <c r="L142" i="14"/>
  <c r="L144" i="14"/>
  <c r="L143" i="14"/>
  <c r="L145" i="14"/>
  <c r="I146" i="14"/>
  <c r="I141" i="14"/>
  <c r="I142" i="14"/>
  <c r="I144" i="14"/>
  <c r="I143" i="14"/>
  <c r="I145" i="14"/>
  <c r="H140" i="14"/>
  <c r="H146" i="14"/>
  <c r="H141" i="14"/>
  <c r="H142" i="14"/>
  <c r="H144" i="14"/>
  <c r="H143" i="14"/>
  <c r="H145" i="14"/>
  <c r="F140" i="14"/>
  <c r="F146" i="14"/>
  <c r="F143" i="14"/>
  <c r="F145" i="14"/>
  <c r="F142" i="14"/>
  <c r="F141" i="14"/>
  <c r="F144" i="14"/>
  <c r="N140" i="14"/>
  <c r="N146" i="14"/>
  <c r="N143" i="14"/>
  <c r="N145" i="14"/>
  <c r="N144" i="14"/>
  <c r="N141" i="14"/>
  <c r="N142" i="14"/>
  <c r="K146" i="14"/>
  <c r="K143" i="14"/>
  <c r="K145" i="14"/>
  <c r="K142" i="14"/>
  <c r="K144" i="14"/>
  <c r="K141" i="14"/>
  <c r="M146" i="14"/>
  <c r="M141" i="14"/>
  <c r="M142" i="14"/>
  <c r="M144" i="14"/>
  <c r="M143" i="14"/>
  <c r="M145" i="14"/>
  <c r="C113" i="14"/>
  <c r="G113" i="14" s="1"/>
  <c r="G140" i="14"/>
  <c r="L138" i="14"/>
  <c r="L140" i="14"/>
  <c r="K138" i="14"/>
  <c r="K140" i="14"/>
  <c r="I138" i="14"/>
  <c r="I140" i="14"/>
  <c r="C119" i="14"/>
  <c r="G119" i="14" s="1"/>
  <c r="M140" i="14"/>
  <c r="Q139" i="14"/>
  <c r="K82" i="7"/>
  <c r="L82" i="7" s="1"/>
  <c r="K78" i="7"/>
  <c r="L78" i="7" s="1"/>
  <c r="K80" i="7"/>
  <c r="L80" i="7" s="1"/>
  <c r="K71" i="7"/>
  <c r="L71" i="7" s="1"/>
  <c r="K81" i="7"/>
  <c r="L81" i="7" s="1"/>
  <c r="N138" i="14"/>
  <c r="G138" i="14"/>
  <c r="G109" i="14"/>
  <c r="Q144" i="18"/>
  <c r="L99" i="7"/>
  <c r="K99" i="7"/>
  <c r="K90" i="7"/>
  <c r="L97" i="7" s="1"/>
  <c r="C123" i="14" l="1"/>
  <c r="Q144" i="14"/>
  <c r="Q141" i="14"/>
  <c r="Q145" i="14"/>
  <c r="Q146" i="14"/>
  <c r="Q142" i="14"/>
  <c r="Q143" i="14"/>
  <c r="G123" i="14"/>
  <c r="Q140" i="14"/>
  <c r="C127" i="14"/>
  <c r="C129" i="14" s="1"/>
  <c r="C133" i="14" s="1"/>
  <c r="E135" i="14" s="1"/>
  <c r="Q138" i="14"/>
  <c r="K97" i="7"/>
  <c r="L11" i="60" l="1"/>
  <c r="P11" i="60" s="1"/>
  <c r="C125" i="14"/>
  <c r="Q147" i="14"/>
  <c r="F36" i="8"/>
  <c r="I58" i="7" l="1"/>
  <c r="J76" i="7" s="1" a="1"/>
  <c r="J76" i="7" s="1"/>
  <c r="I80" i="7" l="1"/>
  <c r="J80" i="7" s="1"/>
  <c r="J68" i="7"/>
  <c r="I72" i="7" s="1"/>
  <c r="J72" i="7" s="1"/>
  <c r="I82" i="7"/>
  <c r="J82" i="7" s="1"/>
  <c r="I78" i="7"/>
  <c r="J78" i="7" s="1"/>
  <c r="I81" i="7"/>
  <c r="J81" i="7" s="1"/>
  <c r="I79" i="7"/>
  <c r="J79" i="7" s="1"/>
  <c r="G63" i="7"/>
  <c r="I71" i="7" l="1"/>
  <c r="J71" i="7" s="1"/>
  <c r="I73" i="7"/>
  <c r="J73" i="7" s="1"/>
  <c r="I70" i="7"/>
  <c r="J70" i="7" s="1"/>
  <c r="J87" i="7" s="1"/>
  <c r="J96" i="7" s="1"/>
  <c r="I74" i="7"/>
  <c r="J74" i="7" s="1"/>
  <c r="I90" i="7"/>
  <c r="J97" i="7" s="1"/>
  <c r="I99" i="7"/>
  <c r="J99" i="7"/>
  <c r="J90" i="7"/>
  <c r="L88" i="7"/>
  <c r="J88" i="7"/>
  <c r="I87" i="7"/>
  <c r="I96" i="7" s="1"/>
  <c r="L90" i="7"/>
  <c r="L87" i="7"/>
  <c r="L96" i="7" s="1"/>
  <c r="H90" i="7"/>
  <c r="K88" i="7"/>
  <c r="K87" i="7"/>
  <c r="K96" i="7" s="1"/>
  <c r="I88" i="7"/>
  <c r="I97" i="7" l="1"/>
  <c r="I89" i="7"/>
  <c r="I98" i="7" s="1"/>
  <c r="J101" i="7" s="1"/>
  <c r="J89" i="7"/>
  <c r="J98" i="7" s="1"/>
  <c r="J105" i="7" s="1"/>
  <c r="L89" i="7"/>
  <c r="L98" i="7" s="1"/>
  <c r="L105" i="7" s="1"/>
  <c r="G108" i="7"/>
  <c r="J108" i="7" l="1"/>
  <c r="J32" i="8" s="1"/>
  <c r="J104" i="7"/>
  <c r="J102" i="7"/>
  <c r="J103" i="7"/>
  <c r="G90" i="7" l="1"/>
  <c r="G97" i="7" s="1"/>
  <c r="H99" i="7"/>
  <c r="G99" i="7"/>
  <c r="G87" i="7" l="1"/>
  <c r="G96" i="7" s="1"/>
  <c r="H97" i="7"/>
  <c r="G88" i="7"/>
  <c r="G89" i="7" s="1"/>
  <c r="K89" i="7"/>
  <c r="K98" i="7" s="1"/>
  <c r="L101" i="7" s="1"/>
  <c r="L108" i="7" s="1"/>
  <c r="N32" i="8" s="1"/>
  <c r="H87" i="7"/>
  <c r="H96" i="7" s="1"/>
  <c r="H88" i="7" l="1"/>
  <c r="H89" i="7" s="1"/>
  <c r="H98" i="7" s="1"/>
  <c r="H105" i="7" s="1"/>
  <c r="G98" i="7"/>
  <c r="H101" i="7" s="1"/>
  <c r="H108" i="7" s="1"/>
  <c r="L103" i="7"/>
  <c r="L102" i="7"/>
  <c r="L104" i="7"/>
  <c r="F32" i="8" l="1"/>
  <c r="H104" i="7"/>
  <c r="H102" i="7"/>
  <c r="H103" i="7"/>
  <c r="R32" i="8" l="1"/>
  <c r="I57" i="8" l="1"/>
  <c r="J77" i="8" s="1"/>
  <c r="D160" i="7" l="1"/>
  <c r="D161" i="7"/>
  <c r="D164" i="7"/>
  <c r="D159" i="7"/>
  <c r="D151" i="7"/>
  <c r="D148" i="7"/>
  <c r="D147" i="7"/>
  <c r="D146" i="7"/>
  <c r="D163" i="7"/>
  <c r="D162" i="7"/>
  <c r="D149" i="7"/>
  <c r="D150" i="7"/>
  <c r="D139" i="7"/>
  <c r="D320" i="8" s="1"/>
  <c r="D135" i="7"/>
  <c r="D316" i="8" s="1"/>
  <c r="D137" i="7"/>
  <c r="D318" i="8" s="1"/>
  <c r="D134" i="7"/>
  <c r="D315" i="8" s="1"/>
  <c r="D136" i="7"/>
  <c r="D317" i="8" s="1"/>
  <c r="D138" i="7"/>
  <c r="D319" i="8" s="1"/>
  <c r="M113" i="7"/>
  <c r="H113" i="7"/>
  <c r="D156" i="7"/>
  <c r="D143" i="7"/>
  <c r="D131" i="7"/>
  <c r="L113" i="7"/>
  <c r="I101" i="8"/>
  <c r="I129" i="8" s="1"/>
  <c r="J61" i="8"/>
  <c r="C314" i="8"/>
  <c r="C148" i="7" l="1"/>
  <c r="C164" i="7"/>
  <c r="C147" i="7"/>
  <c r="C151" i="7"/>
  <c r="C161" i="7"/>
  <c r="C160" i="7"/>
  <c r="C150" i="7"/>
  <c r="C162" i="7"/>
  <c r="C146" i="7"/>
  <c r="C149" i="7"/>
  <c r="C159" i="7"/>
  <c r="C163" i="7"/>
  <c r="C139" i="7"/>
  <c r="C135" i="7"/>
  <c r="C316" i="8" s="1"/>
  <c r="C137" i="7"/>
  <c r="C318" i="8" s="1"/>
  <c r="C134" i="7"/>
  <c r="C315" i="8" s="1"/>
  <c r="C138" i="7"/>
  <c r="C319" i="8" s="1"/>
  <c r="C136" i="7"/>
  <c r="C317" i="8" s="1"/>
  <c r="W76" i="8"/>
  <c r="L112" i="7"/>
  <c r="W60" i="8"/>
  <c r="L122" i="7"/>
  <c r="D157" i="7"/>
  <c r="C156" i="7"/>
  <c r="M112" i="7"/>
  <c r="H112" i="7"/>
  <c r="D144" i="7"/>
  <c r="C143" i="7"/>
  <c r="D132" i="7"/>
  <c r="D313" i="8" s="1"/>
  <c r="C131" i="7"/>
  <c r="C312" i="8" s="1"/>
  <c r="J105" i="8"/>
  <c r="L114" i="7"/>
  <c r="C320" i="8"/>
  <c r="D312" i="8"/>
  <c r="E163" i="7" l="1"/>
  <c r="E162" i="7"/>
  <c r="E159" i="7"/>
  <c r="E150" i="7"/>
  <c r="E149" i="7"/>
  <c r="E147" i="7"/>
  <c r="E146" i="7"/>
  <c r="E161" i="7"/>
  <c r="E160" i="7"/>
  <c r="E164" i="7"/>
  <c r="E151" i="7"/>
  <c r="E148" i="7"/>
  <c r="E139" i="7"/>
  <c r="E320" i="8" s="1"/>
  <c r="E136" i="7"/>
  <c r="E317" i="8" s="1"/>
  <c r="E135" i="7"/>
  <c r="E316" i="8" s="1"/>
  <c r="E137" i="7"/>
  <c r="E318" i="8" s="1"/>
  <c r="E134" i="7"/>
  <c r="E315" i="8" s="1"/>
  <c r="E138" i="7"/>
  <c r="E319" i="8" s="1"/>
  <c r="E144" i="7"/>
  <c r="E157" i="7"/>
  <c r="E132" i="7"/>
  <c r="W170" i="8"/>
  <c r="V170" i="8" s="1"/>
  <c r="AD166" i="8" s="1"/>
  <c r="W160" i="8"/>
  <c r="V160" i="8" s="1"/>
  <c r="AD160" i="8" s="1"/>
  <c r="L121" i="7"/>
  <c r="W148" i="8"/>
  <c r="V148" i="8" s="1"/>
  <c r="AD143" i="8" s="1"/>
  <c r="W262" i="8"/>
  <c r="L118" i="7"/>
  <c r="W132" i="8"/>
  <c r="W165" i="8"/>
  <c r="V165" i="8" s="1"/>
  <c r="AD162" i="8" s="1"/>
  <c r="AB214" i="8"/>
  <c r="L117" i="7"/>
  <c r="L125" i="7"/>
  <c r="L124" i="7"/>
  <c r="L115" i="7"/>
  <c r="W159" i="8"/>
  <c r="V159" i="8" s="1"/>
  <c r="AD156" i="8" s="1"/>
  <c r="W155" i="8"/>
  <c r="V155" i="8" s="1"/>
  <c r="AD149" i="8" s="1"/>
  <c r="W171" i="8"/>
  <c r="W197" i="8"/>
  <c r="L119" i="7"/>
  <c r="L123" i="7"/>
  <c r="L116" i="7"/>
  <c r="L120" i="7"/>
  <c r="E158" i="7"/>
  <c r="E145" i="7"/>
  <c r="E133" i="7"/>
  <c r="E314" i="8" s="1"/>
  <c r="M114" i="7"/>
  <c r="H114" i="7"/>
  <c r="E143" i="7"/>
  <c r="E156" i="7"/>
  <c r="E131" i="7"/>
  <c r="E312" i="8" s="1"/>
  <c r="W104" i="8"/>
  <c r="J149" i="8"/>
  <c r="J143" i="8"/>
  <c r="J162" i="8"/>
  <c r="J166" i="8"/>
  <c r="J172" i="8"/>
  <c r="J198" i="8"/>
  <c r="J133" i="8"/>
  <c r="X141" i="8" s="1"/>
  <c r="J156" i="8"/>
  <c r="J160" i="8"/>
  <c r="J263" i="8"/>
  <c r="J162" i="7" l="1"/>
  <c r="J163" i="7"/>
  <c r="J159" i="7"/>
  <c r="J150" i="7"/>
  <c r="J149" i="7"/>
  <c r="J146" i="7"/>
  <c r="J161" i="7"/>
  <c r="J164" i="7"/>
  <c r="J151" i="7"/>
  <c r="J148" i="7"/>
  <c r="J139" i="7"/>
  <c r="J320" i="8" s="1"/>
  <c r="J138" i="7"/>
  <c r="J319" i="8" s="1"/>
  <c r="J137" i="7"/>
  <c r="J318" i="8" s="1"/>
  <c r="J134" i="7"/>
  <c r="J136" i="7"/>
  <c r="J317" i="8" s="1"/>
  <c r="M163" i="7"/>
  <c r="M160" i="7"/>
  <c r="M159" i="7"/>
  <c r="M162" i="7"/>
  <c r="M150" i="7"/>
  <c r="M149" i="7"/>
  <c r="M146" i="7"/>
  <c r="M164" i="7"/>
  <c r="M151" i="7"/>
  <c r="M147" i="7"/>
  <c r="M139" i="7"/>
  <c r="M320" i="8" s="1"/>
  <c r="M135" i="7"/>
  <c r="M134" i="7"/>
  <c r="M137" i="7"/>
  <c r="M318" i="8" s="1"/>
  <c r="M138" i="7"/>
  <c r="M319" i="8" s="1"/>
  <c r="K161" i="7"/>
  <c r="K164" i="7"/>
  <c r="K151" i="7"/>
  <c r="K148" i="7"/>
  <c r="K163" i="7"/>
  <c r="K159" i="7"/>
  <c r="K162" i="7"/>
  <c r="K149" i="7"/>
  <c r="K146" i="7"/>
  <c r="K150" i="7"/>
  <c r="K139" i="7"/>
  <c r="K320" i="8" s="1"/>
  <c r="K137" i="7"/>
  <c r="K318" i="8" s="1"/>
  <c r="K138" i="7"/>
  <c r="K319" i="8" s="1"/>
  <c r="K134" i="7"/>
  <c r="K136" i="7"/>
  <c r="K317" i="8" s="1"/>
  <c r="P161" i="7"/>
  <c r="P160" i="7"/>
  <c r="P149" i="7"/>
  <c r="P148" i="7"/>
  <c r="P162" i="7"/>
  <c r="P159" i="7"/>
  <c r="P163" i="7"/>
  <c r="P150" i="7"/>
  <c r="P147" i="7"/>
  <c r="P146" i="7"/>
  <c r="P137" i="7"/>
  <c r="P134" i="7"/>
  <c r="P138" i="7"/>
  <c r="P319" i="8" s="1"/>
  <c r="P135" i="7"/>
  <c r="P136" i="7"/>
  <c r="I163" i="7"/>
  <c r="I159" i="7"/>
  <c r="I162" i="7"/>
  <c r="I150" i="7"/>
  <c r="I149" i="7"/>
  <c r="I146" i="7"/>
  <c r="I164" i="7"/>
  <c r="I161" i="7"/>
  <c r="I151" i="7"/>
  <c r="I148" i="7"/>
  <c r="I139" i="7"/>
  <c r="I320" i="8" s="1"/>
  <c r="I134" i="7"/>
  <c r="I136" i="7"/>
  <c r="I317" i="8" s="1"/>
  <c r="I137" i="7"/>
  <c r="I318" i="8" s="1"/>
  <c r="I138" i="7"/>
  <c r="I319" i="8" s="1"/>
  <c r="N163" i="7"/>
  <c r="N159" i="7"/>
  <c r="N150" i="7"/>
  <c r="N147" i="7"/>
  <c r="N146" i="7"/>
  <c r="N160" i="7"/>
  <c r="N151" i="7"/>
  <c r="N164" i="7"/>
  <c r="N161" i="7"/>
  <c r="N148" i="7"/>
  <c r="N139" i="7"/>
  <c r="N320" i="8" s="1"/>
  <c r="N135" i="7"/>
  <c r="N136" i="7"/>
  <c r="N138" i="7"/>
  <c r="N319" i="8" s="1"/>
  <c r="N134" i="7"/>
  <c r="L164" i="7"/>
  <c r="L161" i="7"/>
  <c r="L151" i="7"/>
  <c r="L148" i="7"/>
  <c r="L162" i="7"/>
  <c r="L163" i="7"/>
  <c r="L159" i="7"/>
  <c r="L149" i="7"/>
  <c r="L150" i="7"/>
  <c r="L146" i="7"/>
  <c r="L139" i="7"/>
  <c r="L320" i="8" s="1"/>
  <c r="L137" i="7"/>
  <c r="L318" i="8" s="1"/>
  <c r="L134" i="7"/>
  <c r="L136" i="7"/>
  <c r="L317" i="8" s="1"/>
  <c r="L138" i="7"/>
  <c r="L319" i="8" s="1"/>
  <c r="H164" i="7"/>
  <c r="H161" i="7"/>
  <c r="H151" i="7"/>
  <c r="H148" i="7"/>
  <c r="H163" i="7"/>
  <c r="H159" i="7"/>
  <c r="H162" i="7"/>
  <c r="H150" i="7"/>
  <c r="H146" i="7"/>
  <c r="H149" i="7"/>
  <c r="H139" i="7"/>
  <c r="H320" i="8" s="1"/>
  <c r="H137" i="7"/>
  <c r="H318" i="8" s="1"/>
  <c r="H134" i="7"/>
  <c r="H136" i="7"/>
  <c r="H317" i="8" s="1"/>
  <c r="H138" i="7"/>
  <c r="H319" i="8" s="1"/>
  <c r="F162" i="7"/>
  <c r="F163" i="7"/>
  <c r="F160" i="7"/>
  <c r="F150" i="7"/>
  <c r="F149" i="7"/>
  <c r="F151" i="7"/>
  <c r="F164" i="7"/>
  <c r="F161" i="7"/>
  <c r="F148" i="7"/>
  <c r="F147" i="7"/>
  <c r="F139" i="7"/>
  <c r="F320" i="8" s="1"/>
  <c r="F138" i="7"/>
  <c r="F319" i="8" s="1"/>
  <c r="F135" i="7"/>
  <c r="F316" i="8" s="1"/>
  <c r="F137" i="7"/>
  <c r="F318" i="8" s="1"/>
  <c r="F136" i="7"/>
  <c r="F317" i="8" s="1"/>
  <c r="G161" i="7"/>
  <c r="G164" i="7"/>
  <c r="G151" i="7"/>
  <c r="G148" i="7"/>
  <c r="G162" i="7"/>
  <c r="G163" i="7"/>
  <c r="G159" i="7"/>
  <c r="G150" i="7"/>
  <c r="G146" i="7"/>
  <c r="G149" i="7"/>
  <c r="G139" i="7"/>
  <c r="G320" i="8" s="1"/>
  <c r="G137" i="7"/>
  <c r="G318" i="8" s="1"/>
  <c r="G138" i="7"/>
  <c r="G319" i="8" s="1"/>
  <c r="G134" i="7"/>
  <c r="G136" i="7"/>
  <c r="G317" i="8" s="1"/>
  <c r="H157" i="7"/>
  <c r="H144" i="7"/>
  <c r="H132" i="7"/>
  <c r="H313" i="8" s="1"/>
  <c r="P157" i="7"/>
  <c r="P144" i="7"/>
  <c r="P132" i="7"/>
  <c r="P313" i="8" s="1"/>
  <c r="I157" i="7"/>
  <c r="I144" i="7"/>
  <c r="I132" i="7"/>
  <c r="I313" i="8" s="1"/>
  <c r="N144" i="7"/>
  <c r="N157" i="7"/>
  <c r="N132" i="7"/>
  <c r="N313" i="8" s="1"/>
  <c r="L157" i="7"/>
  <c r="L144" i="7"/>
  <c r="L132" i="7"/>
  <c r="L313" i="8" s="1"/>
  <c r="J144" i="7"/>
  <c r="J157" i="7"/>
  <c r="J132" i="7"/>
  <c r="J313" i="8" s="1"/>
  <c r="F144" i="7"/>
  <c r="F157" i="7"/>
  <c r="F132" i="7"/>
  <c r="F313" i="8" s="1"/>
  <c r="M144" i="7"/>
  <c r="M157" i="7"/>
  <c r="M132" i="7"/>
  <c r="M313" i="8" s="1"/>
  <c r="K157" i="7"/>
  <c r="K144" i="7"/>
  <c r="K132" i="7"/>
  <c r="K313" i="8" s="1"/>
  <c r="G157" i="7"/>
  <c r="G144" i="7"/>
  <c r="G132" i="7"/>
  <c r="G313" i="8" s="1"/>
  <c r="I158" i="7"/>
  <c r="I145" i="7"/>
  <c r="I133" i="7"/>
  <c r="I314" i="8" s="1"/>
  <c r="H145" i="7"/>
  <c r="H158" i="7"/>
  <c r="H133" i="7"/>
  <c r="H314" i="8" s="1"/>
  <c r="P145" i="7"/>
  <c r="P158" i="7"/>
  <c r="P133" i="7"/>
  <c r="P314" i="8" s="1"/>
  <c r="N158" i="7"/>
  <c r="N145" i="7"/>
  <c r="N133" i="7"/>
  <c r="L145" i="7"/>
  <c r="L158" i="7"/>
  <c r="L133" i="7"/>
  <c r="J158" i="7"/>
  <c r="J145" i="7"/>
  <c r="J133" i="7"/>
  <c r="J314" i="8" s="1"/>
  <c r="F158" i="7"/>
  <c r="F145" i="7"/>
  <c r="F133" i="7"/>
  <c r="F314" i="8" s="1"/>
  <c r="M158" i="7"/>
  <c r="M145" i="7"/>
  <c r="M133" i="7"/>
  <c r="K145" i="7"/>
  <c r="K158" i="7"/>
  <c r="K133" i="7"/>
  <c r="K314" i="8" s="1"/>
  <c r="G145" i="7"/>
  <c r="G158" i="7"/>
  <c r="G133" i="7"/>
  <c r="G314" i="8" s="1"/>
  <c r="V273" i="8"/>
  <c r="S92" i="15" s="1"/>
  <c r="S93" i="15" s="1"/>
  <c r="L156" i="7"/>
  <c r="L143" i="7"/>
  <c r="L131" i="7"/>
  <c r="H156" i="7"/>
  <c r="H143" i="7"/>
  <c r="H131" i="7"/>
  <c r="H312" i="8" s="1"/>
  <c r="I156" i="7"/>
  <c r="I143" i="7"/>
  <c r="I131" i="7"/>
  <c r="I312" i="8" s="1"/>
  <c r="N156" i="7"/>
  <c r="N143" i="7"/>
  <c r="N131" i="7"/>
  <c r="J143" i="7"/>
  <c r="J156" i="7"/>
  <c r="J131" i="7"/>
  <c r="J312" i="8" s="1"/>
  <c r="M156" i="7"/>
  <c r="M143" i="7"/>
  <c r="M131" i="7"/>
  <c r="M312" i="8" s="1"/>
  <c r="K156" i="7"/>
  <c r="K143" i="7"/>
  <c r="K131" i="7"/>
  <c r="K312" i="8" s="1"/>
  <c r="G156" i="7"/>
  <c r="G143" i="7"/>
  <c r="G131" i="7"/>
  <c r="G312" i="8" s="1"/>
  <c r="P143" i="7"/>
  <c r="P156" i="7"/>
  <c r="P131" i="7"/>
  <c r="F143" i="7"/>
  <c r="F156" i="7"/>
  <c r="F131" i="7"/>
  <c r="F134" i="7"/>
  <c r="F315" i="8" s="1"/>
  <c r="L126" i="7"/>
  <c r="H125" i="7"/>
  <c r="M125" i="7"/>
  <c r="M118" i="7"/>
  <c r="H118" i="7"/>
  <c r="N162" i="7"/>
  <c r="H123" i="7"/>
  <c r="M123" i="7"/>
  <c r="H121" i="7"/>
  <c r="M121" i="7"/>
  <c r="M116" i="7"/>
  <c r="H116" i="7"/>
  <c r="H119" i="7"/>
  <c r="M119" i="7"/>
  <c r="M115" i="7"/>
  <c r="M122" i="7"/>
  <c r="H122" i="7"/>
  <c r="M120" i="7"/>
  <c r="H120" i="7"/>
  <c r="M117" i="7"/>
  <c r="H117" i="7"/>
  <c r="P164" i="7"/>
  <c r="L160" i="7"/>
  <c r="G160" i="7"/>
  <c r="J160" i="7"/>
  <c r="F146" i="7"/>
  <c r="F159" i="7"/>
  <c r="M161" i="7"/>
  <c r="K160" i="7"/>
  <c r="H160" i="7"/>
  <c r="I160" i="7"/>
  <c r="G147" i="7"/>
  <c r="J147" i="7"/>
  <c r="I147" i="7"/>
  <c r="L147" i="7"/>
  <c r="P139" i="7"/>
  <c r="N137" i="7"/>
  <c r="K147" i="7"/>
  <c r="N149" i="7"/>
  <c r="M148" i="7"/>
  <c r="P151" i="7"/>
  <c r="H147" i="7"/>
  <c r="I135" i="7"/>
  <c r="I316" i="8" s="1"/>
  <c r="L135" i="7"/>
  <c r="L316" i="8" s="1"/>
  <c r="G135" i="7"/>
  <c r="G316" i="8" s="1"/>
  <c r="J135" i="7"/>
  <c r="J316" i="8" s="1"/>
  <c r="K135" i="7"/>
  <c r="K316" i="8" s="1"/>
  <c r="H135" i="7"/>
  <c r="H316" i="8" s="1"/>
  <c r="M136" i="7"/>
  <c r="M317" i="8" s="1"/>
  <c r="N317" i="8"/>
  <c r="N318" i="8"/>
  <c r="I315" i="8"/>
  <c r="H315" i="8"/>
  <c r="K315" i="8"/>
  <c r="G315" i="8"/>
  <c r="J315" i="8"/>
  <c r="M316" i="8"/>
  <c r="L312" i="8"/>
  <c r="L315" i="8"/>
  <c r="P312" i="8"/>
  <c r="N312" i="8"/>
  <c r="N316" i="8"/>
  <c r="L314" i="8"/>
  <c r="E313" i="8"/>
  <c r="T92" i="15" l="1"/>
  <c r="S91" i="15" s="1"/>
  <c r="P320" i="8"/>
  <c r="F312" i="8"/>
  <c r="P318" i="8"/>
  <c r="N314" i="8"/>
  <c r="M314" i="8"/>
  <c r="N315" i="8"/>
  <c r="M315" i="8"/>
  <c r="P316" i="8"/>
  <c r="P317" i="8"/>
  <c r="P315" i="8"/>
  <c r="S85" i="15" l="1"/>
  <c r="O7" i="15"/>
  <c r="S88" i="15"/>
  <c r="I215" i="8" l="1"/>
  <c r="I272" i="8" l="1"/>
  <c r="AD215" i="8"/>
  <c r="AD273" i="8" s="1"/>
  <c r="J215" i="8"/>
  <c r="O162" i="7" l="1"/>
  <c r="Q162" i="7" s="1"/>
  <c r="O164" i="7"/>
  <c r="Q164" i="7" s="1"/>
  <c r="O151" i="7"/>
  <c r="Q151" i="7" s="1"/>
  <c r="O147" i="7"/>
  <c r="Q147" i="7" s="1"/>
  <c r="O161" i="7"/>
  <c r="Q161" i="7" s="1"/>
  <c r="O160" i="7"/>
  <c r="Q160" i="7" s="1"/>
  <c r="O159" i="7"/>
  <c r="Q159" i="7" s="1"/>
  <c r="O148" i="7"/>
  <c r="Q148" i="7" s="1"/>
  <c r="O146" i="7"/>
  <c r="Q146" i="7" s="1"/>
  <c r="O149" i="7"/>
  <c r="Q149" i="7" s="1"/>
  <c r="O139" i="7"/>
  <c r="O135" i="7"/>
  <c r="O137" i="7"/>
  <c r="O134" i="7"/>
  <c r="O136" i="7"/>
  <c r="O157" i="7"/>
  <c r="Q157" i="7" s="1"/>
  <c r="O144" i="7"/>
  <c r="Q144" i="7" s="1"/>
  <c r="O132" i="7"/>
  <c r="O145" i="7"/>
  <c r="Q145" i="7" s="1"/>
  <c r="O158" i="7"/>
  <c r="Q158" i="7" s="1"/>
  <c r="O133" i="7"/>
  <c r="O156" i="7"/>
  <c r="Q156" i="7" s="1"/>
  <c r="O143" i="7"/>
  <c r="Q143" i="7" s="1"/>
  <c r="O131" i="7"/>
  <c r="M124" i="7"/>
  <c r="M126" i="7" s="1"/>
  <c r="H296" i="8" s="1"/>
  <c r="H124" i="7"/>
  <c r="H126" i="7" s="1"/>
  <c r="O163" i="7"/>
  <c r="Q163" i="7" s="1"/>
  <c r="O150" i="7"/>
  <c r="Q150" i="7" s="1"/>
  <c r="O138" i="7"/>
  <c r="O319" i="8" s="1"/>
  <c r="Q319" i="8" s="1"/>
  <c r="O315" i="8" l="1"/>
  <c r="Q315" i="8" s="1"/>
  <c r="Q134" i="7"/>
  <c r="C127" i="15" s="1"/>
  <c r="O316" i="8"/>
  <c r="Q316" i="8" s="1"/>
  <c r="Q135" i="7"/>
  <c r="C128" i="15" s="1"/>
  <c r="O317" i="8"/>
  <c r="Q317" i="8" s="1"/>
  <c r="Q136" i="7"/>
  <c r="C129" i="15" s="1"/>
  <c r="Q137" i="7"/>
  <c r="C130" i="15" s="1"/>
  <c r="O318" i="8"/>
  <c r="Q318" i="8" s="1"/>
  <c r="O320" i="8"/>
  <c r="Q139" i="7"/>
  <c r="C132" i="15" s="1"/>
  <c r="O313" i="8"/>
  <c r="Q313" i="8" s="1"/>
  <c r="Q132" i="7"/>
  <c r="O314" i="8"/>
  <c r="Q314" i="8" s="1"/>
  <c r="Q133" i="7"/>
  <c r="Q165" i="7"/>
  <c r="J272" i="8" s="1"/>
  <c r="Q152" i="7"/>
  <c r="O312" i="8"/>
  <c r="Q312" i="8" s="1"/>
  <c r="Q131" i="7"/>
  <c r="H298" i="8"/>
  <c r="Q138" i="7"/>
  <c r="C131" i="15" s="1"/>
  <c r="E132" i="15" l="1"/>
  <c r="E129" i="15"/>
  <c r="E128" i="15"/>
  <c r="E127" i="15"/>
  <c r="E130" i="15"/>
  <c r="E126" i="15"/>
  <c r="E125" i="15"/>
  <c r="E124" i="15"/>
  <c r="H281" i="8"/>
  <c r="H283" i="8"/>
  <c r="H95" i="15" s="1"/>
  <c r="Q140" i="7"/>
  <c r="E131" i="15"/>
  <c r="L10" i="60" l="1"/>
  <c r="P10" i="60" s="1"/>
  <c r="F10" i="60" s="1"/>
  <c r="D6" i="60"/>
  <c r="D8" i="60" s="1"/>
  <c r="H287" i="8"/>
  <c r="H289" i="8" s="1"/>
  <c r="H291" i="8" s="1"/>
  <c r="H302" i="8"/>
  <c r="H304" i="8" s="1"/>
  <c r="H306" i="8" s="1"/>
  <c r="H113" i="15"/>
  <c r="F11" i="60" l="1"/>
  <c r="H97" i="15"/>
  <c r="H99" i="15" s="1"/>
  <c r="A1" i="15"/>
  <c r="F13" i="52" s="1"/>
  <c r="F17" i="52" s="1"/>
  <c r="H115" i="15"/>
  <c r="F12" i="60" l="1"/>
  <c r="F19" i="52"/>
  <c r="F22" i="52" s="1"/>
  <c r="F13" i="60" l="1"/>
  <c r="F14" i="60" l="1"/>
  <c r="F15" i="60"/>
  <c r="F16" i="60"/>
  <c r="F17" i="60"/>
  <c r="F18" i="60"/>
  <c r="F19" i="60"/>
  <c r="F20" i="60"/>
  <c r="F21" i="60"/>
  <c r="F22" i="60"/>
  <c r="F23" i="60" s="1"/>
  <c r="F24" i="60" s="1"/>
  <c r="F27" i="60" l="1"/>
  <c r="B10" i="60"/>
  <c r="D14" i="60"/>
  <c r="D13" i="60"/>
  <c r="D12" i="60"/>
  <c r="D11" i="60"/>
  <c r="C11" i="60"/>
  <c r="C14" i="60"/>
  <c r="C13" i="60"/>
  <c r="C12" i="60"/>
  <c r="C10" i="60"/>
  <c r="D17" i="60"/>
  <c r="C17" i="60"/>
  <c r="D20" i="60"/>
  <c r="C20" i="60"/>
  <c r="D19" i="60"/>
  <c r="C19" i="60"/>
  <c r="D18" i="60"/>
  <c r="C18" i="60"/>
  <c r="C16" i="60"/>
  <c r="B16" i="60"/>
  <c r="B22" i="60"/>
  <c r="D23" i="60"/>
  <c r="D26" i="60"/>
  <c r="C26" i="60"/>
  <c r="D25" i="60"/>
  <c r="C25" i="60"/>
  <c r="D24" i="60"/>
  <c r="C24" i="60"/>
  <c r="C23" i="60"/>
  <c r="C22" i="60"/>
  <c r="D32" i="60"/>
  <c r="C32" i="60"/>
  <c r="D31" i="60"/>
  <c r="C31" i="60"/>
  <c r="D30" i="60"/>
  <c r="C30" i="60"/>
  <c r="D29" i="60"/>
  <c r="C29" i="60"/>
  <c r="C28" i="60"/>
  <c r="B28" i="60"/>
  <c r="D116" i="60"/>
  <c r="C116" i="60"/>
  <c r="D115" i="60"/>
  <c r="C115" i="60"/>
  <c r="D114" i="60"/>
  <c r="C114" i="60"/>
  <c r="D113" i="60"/>
  <c r="C113" i="60"/>
  <c r="C112" i="60"/>
  <c r="B112" i="60"/>
  <c r="D110" i="60"/>
  <c r="C110" i="60"/>
  <c r="D109" i="60"/>
  <c r="C109" i="60"/>
  <c r="D108" i="60"/>
  <c r="C108" i="60"/>
  <c r="D107" i="60"/>
  <c r="C107" i="60"/>
  <c r="C106" i="60"/>
  <c r="B106" i="60"/>
  <c r="D104" i="60"/>
  <c r="C104" i="60"/>
  <c r="D103" i="60"/>
  <c r="C103" i="60"/>
  <c r="D102" i="60"/>
  <c r="C102" i="60"/>
  <c r="D101" i="60"/>
  <c r="C101" i="60"/>
  <c r="C100" i="60"/>
  <c r="B100" i="60"/>
  <c r="D98" i="60"/>
  <c r="C98" i="60"/>
  <c r="D97" i="60"/>
  <c r="C97" i="60"/>
  <c r="D96" i="60"/>
  <c r="C96" i="60"/>
  <c r="D95" i="60"/>
  <c r="C95" i="60"/>
  <c r="C94" i="60"/>
  <c r="B94" i="60"/>
  <c r="D92" i="60"/>
  <c r="C92" i="60"/>
  <c r="D91" i="60"/>
  <c r="C91" i="60"/>
  <c r="D90" i="60"/>
  <c r="C90" i="60"/>
  <c r="D89" i="60"/>
  <c r="C89" i="60"/>
  <c r="C88" i="60"/>
  <c r="B88" i="60"/>
  <c r="D86" i="60"/>
  <c r="C86" i="60"/>
  <c r="D85" i="60"/>
  <c r="C85" i="60"/>
  <c r="D84" i="60"/>
  <c r="C84" i="60"/>
  <c r="D83" i="60"/>
  <c r="C83" i="60"/>
  <c r="C82" i="60"/>
  <c r="B82" i="60"/>
  <c r="D80" i="60"/>
  <c r="C80" i="60"/>
  <c r="D79" i="60"/>
  <c r="C79" i="60"/>
  <c r="D78" i="60"/>
  <c r="C78" i="60"/>
  <c r="D77" i="60"/>
  <c r="C77" i="60"/>
  <c r="C76" i="60"/>
  <c r="B76" i="60"/>
  <c r="D74" i="60"/>
  <c r="C74" i="60"/>
  <c r="D73" i="60"/>
  <c r="C73" i="60"/>
  <c r="D72" i="60"/>
  <c r="C72" i="60"/>
  <c r="D71" i="60"/>
  <c r="C71" i="60"/>
  <c r="C70" i="60"/>
  <c r="B70" i="60"/>
  <c r="D68" i="60"/>
  <c r="C68" i="60"/>
  <c r="D67" i="60"/>
  <c r="C67" i="60"/>
  <c r="D66" i="60"/>
  <c r="C66" i="60"/>
  <c r="D65" i="60"/>
  <c r="C65" i="60"/>
  <c r="C64" i="60"/>
  <c r="B64" i="60"/>
  <c r="D62" i="60"/>
  <c r="C62" i="60"/>
  <c r="D61" i="60"/>
  <c r="C61" i="60"/>
  <c r="D60" i="60"/>
  <c r="C60" i="60"/>
  <c r="D59" i="60"/>
  <c r="C59" i="60"/>
  <c r="C58" i="60"/>
  <c r="B58" i="60"/>
  <c r="D56" i="60"/>
  <c r="C56" i="60"/>
  <c r="D55" i="60"/>
  <c r="C55" i="60"/>
  <c r="D54" i="60"/>
  <c r="C54" i="60"/>
  <c r="D53" i="60"/>
  <c r="C53" i="60"/>
  <c r="C52" i="60"/>
  <c r="B52" i="60"/>
  <c r="D50" i="60"/>
  <c r="C50" i="60"/>
  <c r="D49" i="60"/>
  <c r="C49" i="60"/>
  <c r="D48" i="60"/>
  <c r="C48" i="60"/>
  <c r="D47" i="60"/>
  <c r="C47" i="60"/>
  <c r="C46" i="60"/>
  <c r="B46" i="60"/>
  <c r="D44" i="60"/>
  <c r="C44" i="60"/>
  <c r="D43" i="60"/>
  <c r="C43" i="60"/>
  <c r="D42" i="60"/>
  <c r="C42" i="60"/>
  <c r="D41" i="60"/>
  <c r="C41" i="60"/>
  <c r="C40" i="60"/>
  <c r="B40" i="60"/>
  <c r="D38" i="60"/>
  <c r="C38" i="60"/>
  <c r="D37" i="60"/>
  <c r="C37" i="60"/>
  <c r="D36" i="60"/>
  <c r="C36" i="60"/>
  <c r="D35" i="60"/>
  <c r="C35" i="60"/>
  <c r="C34" i="60"/>
  <c r="B34"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tc={7731A16A-03BB-474B-B5ED-B83A0C6F10FE}</author>
  </authors>
  <commentList>
    <comment ref="F13" authorId="0" shapeId="0" xr:uid="{7731A16A-03BB-474B-B5ED-B83A0C6F10F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Summe siehe Hochbauplanung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tc={631B42D0-71E9-449C-A0C2-09796835B115}</author>
    <author>tc={9425533C-8B8E-4797-8603-2582381F2C05}</author>
  </authors>
  <commentList>
    <comment ref="G29" authorId="0" shapeId="0" xr:uid="{631B42D0-71E9-449C-A0C2-09796835B11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Z.Zt. Keine Hausnummer 
(Wann werden diese festgelegt?)</t>
      </text>
    </comment>
    <comment ref="B73" authorId="1" shapeId="0" xr:uid="{9425533C-8B8E-4797-8603-2582381F2C0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Neubauvorhaben ohne Bestand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tc={11177048-8247-4413-968E-B1ECCFF77E27}</author>
  </authors>
  <commentList>
    <comment ref="J272" authorId="0" shapeId="0" xr:uid="{11177048-8247-4413-968E-B1ECCFF77E2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Summe erschließt sich nicht
Rechnerisch: 
669.856,62 * 25,55% = 171.148,37
Oder per Hand:
11.052,63 + 43.540,68 + 98.133,99 + 18.421,06 = 171.148,36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<sst xmlns="http://schemas.openxmlformats.org/spreadsheetml/2006/main" count="3135" uniqueCount="693">
  <si>
    <t>Preiszusammenstellung</t>
  </si>
  <si>
    <t>für Planungsleistungen</t>
  </si>
  <si>
    <t>Gesamtsumme (netto):</t>
  </si>
  <si>
    <t>Euro</t>
  </si>
  <si>
    <t>Nachlass (%):</t>
  </si>
  <si>
    <t>%</t>
  </si>
  <si>
    <t>Netto nach Nachlass:</t>
  </si>
  <si>
    <t>MwSt (19%):</t>
  </si>
  <si>
    <t>MwSt-Satz:</t>
  </si>
  <si>
    <t>Gesamtsumme (brutto):</t>
  </si>
  <si>
    <t xml:space="preserve">Die Preise (ohne Nachlass in %) errechnen sich durch die Preiseingaben im </t>
  </si>
  <si>
    <t>Leistungsverzeichnis und werden automatisch ins Angebotsdeckblatt übertragen.</t>
  </si>
  <si>
    <t>Leif</t>
  </si>
  <si>
    <t>A.</t>
  </si>
  <si>
    <t>Überblick über das Honorarangebot für</t>
  </si>
  <si>
    <t xml:space="preserve">Verg._Nr.: </t>
  </si>
  <si>
    <t xml:space="preserve">1. </t>
  </si>
  <si>
    <t xml:space="preserve">Hinweise zum Ausfüllen der Excel-Tabelle Honorarangebot </t>
  </si>
  <si>
    <t xml:space="preserve">Überblick über die  Vertragsdetails zu   </t>
  </si>
  <si>
    <r>
      <t xml:space="preserve">Wir bitten Sie, die </t>
    </r>
    <r>
      <rPr>
        <b/>
        <sz val="14"/>
        <color theme="9" tint="-0.249977111117893"/>
        <rFont val="Arial"/>
        <family val="2"/>
      </rPr>
      <t>orange</t>
    </r>
    <r>
      <rPr>
        <b/>
        <sz val="14"/>
        <color theme="1"/>
        <rFont val="Arial"/>
        <family val="2"/>
      </rPr>
      <t xml:space="preserve"> markierten Zellen auf diesem und den weiteren Tabellenblättern auszufüllen. </t>
    </r>
  </si>
  <si>
    <t>Unternehmen:</t>
  </si>
  <si>
    <t>Standort</t>
  </si>
  <si>
    <t>Straße:</t>
  </si>
  <si>
    <t>Hausnummer:</t>
  </si>
  <si>
    <t>Postleitzahl:</t>
  </si>
  <si>
    <t xml:space="preserve">Ort: </t>
  </si>
  <si>
    <t xml:space="preserve">Land: </t>
  </si>
  <si>
    <t>Vertragsgegenstand / Baumaßnahme</t>
  </si>
  <si>
    <t>Der AG beabsichtigt, an dem Bestandsgebäude</t>
  </si>
  <si>
    <t>Der AG beabsichtigt, auf dem Grundstück</t>
  </si>
  <si>
    <t>Sanierungs-, Instandsetzungs- und Modernisierungsmaßnahmen durchzuführen.</t>
  </si>
  <si>
    <t>Projektbeteiligte, Personal des AN</t>
  </si>
  <si>
    <t>einen Neubau zu errichten.</t>
  </si>
  <si>
    <t>Der AN benennt als Projektleiter/in:</t>
  </si>
  <si>
    <t xml:space="preserve">Der AN benennt als verantwortliche/n Bauleiter/in gemäß § 56 BauOBerlin: </t>
  </si>
  <si>
    <t xml:space="preserve">Baukostenobergrenze </t>
  </si>
  <si>
    <t xml:space="preserve">Das Kostenziel des AG sind maximale Baukosten für die Leistungen der Kostengruppen </t>
  </si>
  <si>
    <t xml:space="preserve"> in Höhe von </t>
  </si>
  <si>
    <t xml:space="preserve">EUR/netto (Baukostenobergrenze). </t>
  </si>
  <si>
    <t>Eine Baukostenobergrenze wird nicht vereinbart.</t>
  </si>
  <si>
    <t>Stundensätze</t>
  </si>
  <si>
    <r>
      <t xml:space="preserve">Für die Leistungen nach Zeitaufwand gelten folgende Stundensätze </t>
    </r>
    <r>
      <rPr>
        <b/>
        <u/>
        <sz val="11"/>
        <color theme="1"/>
        <rFont val="Arial"/>
        <family val="2"/>
      </rPr>
      <t>inklusive Nebenkosten</t>
    </r>
    <r>
      <rPr>
        <sz val="11"/>
        <color theme="1"/>
        <rFont val="Arial"/>
        <family val="2"/>
      </rPr>
      <t>:</t>
    </r>
  </si>
  <si>
    <t>für den AN / Projektleiter/in:</t>
  </si>
  <si>
    <t>EUR/Stunde/netto</t>
  </si>
  <si>
    <t>für Mitarbeiter/in, die technische und sonstige Aufgaben erfüllen:</t>
  </si>
  <si>
    <t>für technische Zeichner/innen und sonstige Mitarbeiter/innen mit vergleichbaren Qualifikationen, die technische und wirtschaftliche Aufgaben erfüllen:</t>
  </si>
  <si>
    <t xml:space="preserve">Stufenweiser Abruf/Ausübung von Optionen </t>
  </si>
  <si>
    <t xml:space="preserve">Der AG wird die angebotenen Leistungen des Vertrages in </t>
  </si>
  <si>
    <t xml:space="preserve">Leistungsstufen (Optionen) abrufen. </t>
  </si>
  <si>
    <t xml:space="preserve">Honorarparameter der HOAI </t>
  </si>
  <si>
    <t xml:space="preserve">Der Honorarberechnung für die Leistungen, welche der Auftraggeber den Grundleistungen der HOAI zuzuordnen hat und die in der Ziffer 3 des jeweiligen Tabellenblattes benannt sind, werden die vom Auftraggeber ermittelten anrechenbaren Kosten zugrunde gelegt. Es erfolgt ggfs. eine Anpassung der der Vergütung zu Grunde gelegten anrechenbaren Kosten (ohne mitzuverarbeitende Bausubstanz) auf Basis der Kostenschätzung (LP2) oder/und auf Basis der Kostenberechnung (LP3) für die jeweils zukünftigen Leistungsphasen. 
Die Anpassung der Vergütung erfolgt mit Abruf der jeweiligen nächsten Leistungsstufe. </t>
  </si>
  <si>
    <t xml:space="preserve">Sollten die anrechenbaren Kosten der Konzeption des Auftraggebers, der Kostenschätzung oder der Kostenberechnung außerhalb der Tafelwerte liegen, werden die Tafelwerte mit der Flemming-Tabelle fortgeführt. Sollte sich mit der Kostenschätzung (LP2) und/oder der Kostenberechnung (LP3) zeigen, dass sich die anrechenbaren Kosten im Vergleich zu den zuvor ermittelten anrechenbaren Kosten verändert haben, werden die neu ermittelten anrechenbaren Kosten für die Honorarberechnung der weiteren Leistungsphasen angesetzt. Wird beispielsweise mit der Kostenschätzung festgestellt, dass die anrechenbaren Kosten höher sind, als vom AG ermittelt, werden die anrechenbaren Kosten der Kostenschätzung für die Ermittlung des Honorars der LP 3 (sofern beauftragt) herangezogen. Selbiges gilt, wenn die ermittelten anrechenbaren Kosten niedriger sind. Wenn die anrechenbaren Kosten mit der Kostenberechnung höher oder niedriger liegen, als die anrechenbaren Kosten der Kostenschätzung, werden die mit der Kostenberechnung ermittelten anrechenbaren Kosten für die LP 4 ff. angesetzt. </t>
  </si>
  <si>
    <t xml:space="preserve">Die Ansätze für "Unvorhergesehenes und zur Rundung " werden grundsätzlich nicht berücksichtigt. </t>
  </si>
  <si>
    <t xml:space="preserve">Ein Umbauzuschlag im Sinne von § 2 Abs. 5 i.V.m. § 6 Abs. 2 HOAI, ein Instandsetzungszuschlag § 2 Abs. 8 i.V.m. § 12 HOAI, ein Modernisierungszuschlag im Sinne von § 2 Abs. 6 i.V.m. 6 Abs. 2 HOAI, ein gesonderter Koordinierungszuschlag im Sinne von § 8 Abs. 3 HOAI wird bei der Berechnung des Honorars nicht angesetzt/berücksichtigt.
Der Wert der mitzuverarbeitenden Bausubstanz (auch der TGA-Anteil) im Sinne von § 4 Abs. 3 HOAI wird bei der Berechnung des Honorars ebenfalls nicht angesetzt/berücksichtigt. Der planerische Mehraufwand, der sich aus der Bearbeitung eines Bestandsgebäudes bzw. aus der Übertragung einzelner </t>
  </si>
  <si>
    <t xml:space="preserve">Leistungsphasen ergeben kann, </t>
  </si>
  <si>
    <t xml:space="preserve">kann mit Hilfe des Auf-/Abschlages berücksichtigt werden - siehe Ziff. 2 des jeweiligen Tabellenblattes. </t>
  </si>
  <si>
    <t xml:space="preserve">ist mit dem Auf-/Abschlages abgegolten - siehe Ziff. 2 des jeweiligen Tabellenblattes. </t>
  </si>
  <si>
    <t xml:space="preserve">Sollte die Auffassung bestehen, dass es sich um mehrere Objekte handelt und daher die anrechenbaren Kosten aufgeteilt werden müssten, ist der planerische Mehraufwand der sich hieraus evtl. ergibt mit Hilfe des Auf-/Abschlages abgegolten. Eine Anpassung der anrechenbaren Kosten findet nicht statt. </t>
  </si>
  <si>
    <t>Wird kein Auf-/Abschlag von dem Bieter/Auftragnehmer benannt, geht der AG davon aus, dass der Bieter/Auftragnehmer einen Aufschlag von 0% angeboten hat.</t>
  </si>
  <si>
    <t>Honorarsumme für die Grundleistungen HOAI:</t>
  </si>
  <si>
    <t>zzgl. Auf - oder Abschlag auf die Grundleistungen:</t>
  </si>
  <si>
    <t>Honorarsumme für die Besonderen Leistungen:</t>
  </si>
  <si>
    <t>Auftragsänderungen und -ergänzungen:</t>
  </si>
  <si>
    <t>Zwischensumme:</t>
  </si>
  <si>
    <t>Umsatzsteuer</t>
  </si>
  <si>
    <t xml:space="preserve">Vorläufiges Honorarangebot für die zunächst beauftragten &amp; voraussichtlichen Leistungen </t>
  </si>
  <si>
    <t>Gebäude od. Innenräume</t>
  </si>
  <si>
    <t>B.</t>
  </si>
  <si>
    <t>Abwasser</t>
  </si>
  <si>
    <t>C.</t>
  </si>
  <si>
    <t>Wärmeversorgung</t>
  </si>
  <si>
    <t>D.</t>
  </si>
  <si>
    <t>Luftteschnische Anlagen</t>
  </si>
  <si>
    <t>E.</t>
  </si>
  <si>
    <t>Starktstrom</t>
  </si>
  <si>
    <t>F.</t>
  </si>
  <si>
    <t>Fernmeldeanlagen</t>
  </si>
  <si>
    <t>G.</t>
  </si>
  <si>
    <t>Förderanlagen</t>
  </si>
  <si>
    <t>H.</t>
  </si>
  <si>
    <t>Nutzerspezifische Anlagen</t>
  </si>
  <si>
    <t>I.</t>
  </si>
  <si>
    <t>Gebäudeautomation</t>
  </si>
  <si>
    <t>J.</t>
  </si>
  <si>
    <t>Bauphysik - Wärme</t>
  </si>
  <si>
    <t>K.</t>
  </si>
  <si>
    <t>Bauphysik - Bauakustik</t>
  </si>
  <si>
    <t>L.</t>
  </si>
  <si>
    <t>Bauphysik - Raumakustik</t>
  </si>
  <si>
    <t>M.</t>
  </si>
  <si>
    <t>Tragwerksplanung</t>
  </si>
  <si>
    <t xml:space="preserve">N. </t>
  </si>
  <si>
    <t>Freianlagen</t>
  </si>
  <si>
    <t>O.</t>
  </si>
  <si>
    <t>Bebauungsplan</t>
  </si>
  <si>
    <t>P.</t>
  </si>
  <si>
    <t>Technische Ausrüstung</t>
  </si>
  <si>
    <t>Q.</t>
  </si>
  <si>
    <t>Umsatzsteuer:</t>
  </si>
  <si>
    <t>weitere Besondere Leistungen</t>
  </si>
  <si>
    <t>R.</t>
  </si>
  <si>
    <t>Besondere Leistungen GÜ-Berater</t>
  </si>
  <si>
    <t>S.</t>
  </si>
  <si>
    <t xml:space="preserve">Honorarangebot für die zunächst zu beauftragenden Leistungen: </t>
  </si>
  <si>
    <t>Auftragsänderungen</t>
  </si>
  <si>
    <t>T.</t>
  </si>
  <si>
    <t>ja</t>
  </si>
  <si>
    <t>nein</t>
  </si>
  <si>
    <t>Honorarangebot</t>
  </si>
  <si>
    <t>Beauftragungs- / Abrufdatum der Stufe</t>
  </si>
  <si>
    <t>Fertigstellung-datum der Stufe</t>
  </si>
  <si>
    <t>zunächst beauftragt</t>
  </si>
  <si>
    <t>Eintragung: ja/nein</t>
  </si>
  <si>
    <t>Stufe notwedig</t>
  </si>
  <si>
    <t>Prüfung</t>
  </si>
  <si>
    <t>Stufen</t>
  </si>
  <si>
    <t>netto</t>
  </si>
  <si>
    <t>brutto</t>
  </si>
  <si>
    <t>-</t>
  </si>
  <si>
    <t>Honorarangebot HOAI-Gebäude/Innenräume</t>
  </si>
  <si>
    <t xml:space="preserve">Verg.Nr.: </t>
  </si>
  <si>
    <t xml:space="preserve">Vergütungsvereinbarung und Leistungsbilder der Gebäude/Innenräume </t>
  </si>
  <si>
    <t>1.</t>
  </si>
  <si>
    <t>Anrechenbare Kosten für die Hochbauplanung</t>
  </si>
  <si>
    <t>Gebäude</t>
  </si>
  <si>
    <t>Bitte auswählen!</t>
  </si>
  <si>
    <t>Dropdown</t>
  </si>
  <si>
    <t>Kostenkonzeption des AG</t>
  </si>
  <si>
    <t>anrechenbare Kosten nach Kostenschätzung</t>
  </si>
  <si>
    <t>anrechenbare Kosten nach Kostenberechnung</t>
  </si>
  <si>
    <t>Innenraum</t>
  </si>
  <si>
    <t>Erstellungsdatum:</t>
  </si>
  <si>
    <t>Kosten</t>
  </si>
  <si>
    <t>Baukonstruktion KG 300</t>
  </si>
  <si>
    <t xml:space="preserve">Kostenberechnung liegt noch nicht vor </t>
  </si>
  <si>
    <t>TGA KG 400 (sofern nicht fachlich überwacht oder geplant)</t>
  </si>
  <si>
    <t xml:space="preserve">Die anrechenbaren Kosten liegen außerhalb der Tafelwert, daher kommt die Flemming Tabelle zur Anwendung. </t>
  </si>
  <si>
    <t>Berechnung der anrechenbaren Kosten (netto):</t>
  </si>
  <si>
    <t>100 % HOAI Vergütung gemäß Ziffer 1:</t>
  </si>
  <si>
    <t>Baukonstruktion zzgl. TGA-Anteil:</t>
  </si>
  <si>
    <t>25% der Kosten der Baukonstruktion:</t>
  </si>
  <si>
    <t>50 % der Differenz "Kosten TGA" und "25 % der Kosten Baukonstruktion":</t>
  </si>
  <si>
    <t>Gesamt anrechenbare Kosten inkl. TGA-Anteil:</t>
  </si>
  <si>
    <t>Die Honorarzone ist vom Auftraggeber vorgegeben. Soweit die Auffassung vertreten wird, dass die Honorarzone falsch ermittelt wurde, kann der planerische</t>
  </si>
  <si>
    <t xml:space="preserve">Mehr- oder Minderaufwand durch einen Auf- oder Abschlag kompensiert werden - siehe Ziffer 2. </t>
  </si>
  <si>
    <t>Honorarzone:</t>
  </si>
  <si>
    <t xml:space="preserve">Dropdown </t>
  </si>
  <si>
    <t>Honorarsatz:</t>
  </si>
  <si>
    <t>Basishonorarsatz</t>
  </si>
  <si>
    <t>100 % HOAI nach
Kostenkonzeption des AG</t>
  </si>
  <si>
    <t>100 % HOAI nach
 Kostenschätzung</t>
  </si>
  <si>
    <t>100 % HOAI nach
 Kostenberechnung</t>
  </si>
  <si>
    <t>2.</t>
  </si>
  <si>
    <t xml:space="preserve">Auf- und Abschlag auf die Grundleistungen </t>
  </si>
  <si>
    <t>Gebäude/Innenraum</t>
  </si>
  <si>
    <t>Auf- oder Abschlag auf die Grundleistungen in % (Abschläge sind mit Minuszeichen versehen)</t>
  </si>
  <si>
    <t xml:space="preserve">Mit dem Auf-/Abschlag sind alle Nebenkosten ebensowie wie ein Generalplanerzuschlag abgegolten. </t>
  </si>
  <si>
    <t>3.</t>
  </si>
  <si>
    <t xml:space="preserve">Bewertung der Grundleistungen und Vergütung der besonderen und leistungsphasen bezogenen Leistungen </t>
  </si>
  <si>
    <t xml:space="preserve">Die folgende Tabelle gibt die  geforderten Grundleistungen und besonderen Leistungen wieder. </t>
  </si>
  <si>
    <t>Des Weiteren werden in der Spalte "zunächst beauftragt" die Leistungen mit einem "ja" versehen, welche zunächst abgerufen werden sollen.</t>
  </si>
  <si>
    <t xml:space="preserve">Die besonderen Leistungen sind in den orange markierten Feldern zu bepreisen. </t>
  </si>
  <si>
    <t>Hochbauplanung              Hochbauplanung              Hochbauplanung              Hochbauplanung              Hochbauplanung              Hochbauplanung              Hochbauplanung              Hochbauplanung              Hochbauplanung              Hochbauplanung</t>
  </si>
  <si>
    <t>Leistungsphasen nach HOAI</t>
  </si>
  <si>
    <t>ge- fordert</t>
  </si>
  <si>
    <t xml:space="preserve">Prozente nach der Siemon-Tabelle </t>
  </si>
  <si>
    <t>Vergütung</t>
  </si>
  <si>
    <t xml:space="preserve">100 % HOAI Vergütung gemäß Ziffer 1: </t>
  </si>
  <si>
    <t xml:space="preserve"> Besondere Leistungen </t>
  </si>
  <si>
    <t>zunächst be- auftragt</t>
  </si>
  <si>
    <t>Stufe</t>
  </si>
  <si>
    <t>LP 1</t>
  </si>
  <si>
    <t>Stufen zu-geordnet?</t>
  </si>
  <si>
    <t>1. Grundlagenermittlung</t>
  </si>
  <si>
    <t>Klären der Aufgabenstellung auf Grundlage der Vorgaben oder der Bedarfsplanung des Auftraggebers</t>
  </si>
  <si>
    <t>Bedarfsermittlung</t>
  </si>
  <si>
    <t xml:space="preserve">a) </t>
  </si>
  <si>
    <t>b)</t>
  </si>
  <si>
    <t>Ortsbesichtigung</t>
  </si>
  <si>
    <t xml:space="preserve">c) </t>
  </si>
  <si>
    <t>Beraten zum gesamten Leistungs- und Untersuchungsbedarf</t>
  </si>
  <si>
    <t>d)</t>
  </si>
  <si>
    <t>e)</t>
  </si>
  <si>
    <t>Formulieren der Entscheidungshilfen für die Auswahl anderer an der Planung fachlich Beteiligter</t>
  </si>
  <si>
    <t>Zusammenfassen, Erläutern und Dokumentieren der Ergebnisse</t>
  </si>
  <si>
    <t>2. Vorplanung</t>
  </si>
  <si>
    <t>LP 2</t>
  </si>
  <si>
    <t>Analysieren der Grundlagen, Abstimmen der Leistungen mit den fachlich an der Planung Beteiligten</t>
  </si>
  <si>
    <t>Abstimmen der Zielvorstellungen, Hinweisen auf  Zielkonflikte</t>
  </si>
  <si>
    <t>Erarbeiten der Vorplanung, Untersuchen, Darstellen und Bewerten von Varianten nach gleichen Anforderungen, Zeichnungen im Maßstab nach Art und Größe des Objekts</t>
  </si>
  <si>
    <t xml:space="preserve">Beachten der Anforderungen des vereinbarten Zertifizierungssystems </t>
  </si>
  <si>
    <t>Klären und Erläutern der wesentlichen Zusammenhänge, Vorgaben und Bedingungen</t>
  </si>
  <si>
    <t>Bereitstellen der Arbeitsergebnisse als Grundlage für die anderen an der Planung fachlich Beteiligten sowie Koordination und Integration von deren Leistungen</t>
  </si>
  <si>
    <t>f)</t>
  </si>
  <si>
    <t>g)</t>
  </si>
  <si>
    <t>Vorverhandlungen über die Genehmigungsfähigkeit</t>
  </si>
  <si>
    <t xml:space="preserve">h) </t>
  </si>
  <si>
    <t>Kostenschätzung nach DIN 276, Vergleich mit den finanziellen Rahmenbedingungen</t>
  </si>
  <si>
    <t>i)</t>
  </si>
  <si>
    <t>3. Entwurfsplanung</t>
  </si>
  <si>
    <t>LP 3</t>
  </si>
  <si>
    <t>Erarbeiten der Entwurfsplanung, unter weiterer Berücksichtigung der wesentlichen Zusammenhänge, Vorgaben und Bedingungen (z.B. städtebauliche, gestalterische, funktionale, technische, wirtschaftliche, ökologische, soziale, öffentlich-rechtliche) auf Grundlage der Vorplanung und als Grundlage für die 
weiteren Leistungsphasen und die erforderlichen öffentlich-rechtlichen Genehmigungen unter Verwendung der Beiträge anderer an der Planung fachlich Beteiligter. Zeichnungen nach Art und Größe des Objekts im erforderlichen Umfang und Detaillierungsgrad unter Berücksichtigung aller fachspezifischen 
Anforderungen, z.B. bei Gebäuden im Maßstab 1:100, z.B. bei Innenräumen im Maßstab 1:50 bis 1:20</t>
  </si>
  <si>
    <t>Erarbeitung vorgezogener Leitdetails im Mindestumfang entsprechnder Vorgaben des AG</t>
  </si>
  <si>
    <t>a)</t>
  </si>
  <si>
    <t>Erarbeitung eines Farb- &amp; Materialkonzeptes mit Angaben zu Ausführungsqualitäten &amp; Ausstattungsstandards</t>
  </si>
  <si>
    <t>Überführung der Kostenberechnung von der kostengruppenorientierten in die ausführungsorientierte Gliederung</t>
  </si>
  <si>
    <t>Erarbeitung vorgezogener Leitdetails im Mindestumfang entsprechend Vorgabe des AG</t>
  </si>
  <si>
    <t>Objektbeschreibung</t>
  </si>
  <si>
    <t>c)</t>
  </si>
  <si>
    <t>Verhandlungen über die Genehmigungsfähigkeit</t>
  </si>
  <si>
    <t>Kostenberechnung nach DIN 276 und Vergleich mit der Kostenschätzung</t>
  </si>
  <si>
    <t>Fortschreiben des Terminplans</t>
  </si>
  <si>
    <t>4. Genehmigungsplanung</t>
  </si>
  <si>
    <t>LP 4</t>
  </si>
  <si>
    <t>Erarbeiten und Zusammenstellen der Vorlagen und Nachweise für öffentlich-rechtliche Genehmigungen oder Zustimmungen einschließlich der Anträge auf Ausnahmen und Befreiungen, sowie notwendiger Verhandlungen mit Behörden unter Verwendung der Beiträge anderer an der Planung fachlich Beteiligter</t>
  </si>
  <si>
    <t>Ergänzen und Anpassen der Planungsunterlagen, Beschreibungen und Berechnungen</t>
  </si>
  <si>
    <t>5. Ausführungsplanung</t>
  </si>
  <si>
    <t>LP 5</t>
  </si>
  <si>
    <t>a</t>
  </si>
  <si>
    <t>Erarbeiten der Ausführungsplanung mit allen für die Ausführung notwendigen Einzelangaben (zeichnerisch und textlich) auf Grundlage der Entwurfs- und Genehmigungsplanung bis zur ausführungsreifen Lösung, als Grundlage für die weiteren Leistungsphasen</t>
  </si>
  <si>
    <t>Prüfen und Anerkennen von Plänen Dritter, nicht an der Planung fachlich Beteiligter auf Übereinstimmung mit den Ausführungsplänen, soweit die Leistungen Anlagen betreffen, die in den anrechenbaren Kosten nicht erfasst sind.</t>
  </si>
  <si>
    <t>b</t>
  </si>
  <si>
    <t>Ausführungs-, Detail- und Konstruktionszeichnungen nach Art und Größe des Objekts im erforderlichen Umfang und Detaillierungsgrad unter Berücksichtigung aller fachspezifischen Anforderungen, z.B. bei Gebäuden im Maßstab 1:50 bis 1:1, z.B. bei Innenräumen im Maßstab 1:20 bis 1:1</t>
  </si>
  <si>
    <t>Prüfen der vom bauausführenden Unternehmen auf Grund der Leistungsbeschreibung mit Leistungsprogramm ausgearbeiteten Ausführungspläne auf Übereinstimmung mit der Entwurfsplanung</t>
  </si>
  <si>
    <t>c</t>
  </si>
  <si>
    <t>Bereitstellen der Arbeitsergebnisse als Grundlage für die anderen an der Planung fachlich Beteiligten, sowie Koordination und Integration von deren Leistungen</t>
  </si>
  <si>
    <t>Fortschreibung von Raumbüchern in detaillierter Form</t>
  </si>
  <si>
    <t>d</t>
  </si>
  <si>
    <t>e</t>
  </si>
  <si>
    <t>Fortschreiben der Ausführungsplanung aufgrund der gewerkeorientierten Bearbeitung während der Objektausführung</t>
  </si>
  <si>
    <t>Aufstellen einer detaillierten Objektbeschreibung als Grundlage der Leistungsbeschreibung mit Leistungsprogramm</t>
  </si>
  <si>
    <t>f</t>
  </si>
  <si>
    <t>Überprüfen erforderlicher Montagepläne der vom Objektplaner geplanten Baukonstruktionen und baukonstruktiven Einbauten auf Übereinstimmung mit der Ausführungsplanung</t>
  </si>
  <si>
    <t xml:space="preserve">Hochbauplanung              Hochbauplanung              Hochbauplanung              Hochbauplanung              Hochbauplanung              Hochbauplanung              Hochbauplanung              Hochbauplanung              Hochbauplanung </t>
  </si>
  <si>
    <t>6. Vorbereitung der Vergabe *)</t>
  </si>
  <si>
    <t>LP 6</t>
  </si>
  <si>
    <t>Aufstellen eines Vergabeterminplans</t>
  </si>
  <si>
    <t>Aufstellen der Leistungsbeschreibungen mit Leistungsprogramm auf der Grundlage der detaillierten Objektbeschreibung.</t>
  </si>
  <si>
    <t>Aufstellen von Leistungsbeschreibungen mit Leistungsverzeichnissen* nach Leistungsbereichen, Ermitteln und Zusammenstellen von Mengen auf Grundlage der Ausführungsplanung unter Verwendung der Beiträge anderer an der Planung fachlich Beteiligter</t>
  </si>
  <si>
    <t>Aufstellung von alternativen Leistungs-beschreibungen für geschlossene Leistungsbereiche</t>
  </si>
  <si>
    <t>Abstimmen und Koordinieren der Schnittstellen zu den Leistungsbeschreibungen der an der Planung fachlich Beteiligten</t>
  </si>
  <si>
    <t>Besondere Ausarbeitung, z.B. für Selbsthilfe</t>
  </si>
  <si>
    <t>Aktualisierung der Auftrags-LV bei Nichtbeauftragungen als D86</t>
  </si>
  <si>
    <t>Ermitteln der Kosten auf Grundlage vom Planer bepreister Leistungsverzeichnisse</t>
  </si>
  <si>
    <t>Aufstellen der Funktionalen Leistungsbeschreibung unter Verwendung der Beiträge anderer an der Planung fachlich Beteiligter auf Grundlage der Entwurfs- und Genehmigungsplanung, der Leitdetails sowie einer detaillierten Objektbeschreibung mit der abgestimmten Bemusterungsliste; FLB-Struktur mit ausführungsorientierter Gliederung gemäß Baukostenmanagement des AG; Fortschreiben der Vergabeunterlagen im Vergabeprozess einschl. Erstellen der Auftrags-FLB</t>
  </si>
  <si>
    <t>Kostenkontrolle durch Vergleich der vom Planer bepreisten Leistungsverzeichnisse mit der Kostenberechnung</t>
  </si>
  <si>
    <t>Zusammenstellen der Vergabeunterlagen für alle Leistungsbereiche</t>
  </si>
  <si>
    <t>Kostenermittlung mit ausführungsorientierter Gliederung gemäß Baukostenmanagement des AG auf Grundlage von beim Planer vorhandener Kennziffern oder vergleichbarer Angebote</t>
  </si>
  <si>
    <t>7. Mitwirkung bei der Vergabe</t>
  </si>
  <si>
    <t>LP 7</t>
  </si>
  <si>
    <t>Koordinieren der Vergaben der Fachplaner</t>
  </si>
  <si>
    <t>Prüfen und Werten von Nebenangeboten mit Auswirkungen auf die abgestimmte Planung</t>
  </si>
  <si>
    <t>Einholen von Angeboten</t>
  </si>
  <si>
    <t>Prüfen und Werten der Angebote einschließlich Aufstellen eines Preisspiegels nach Einzelpositionen oder Teilleistungen, Prüfen und Werten der Angebote zusätzlicher und geänderter Leistungen der ausführenden Unternehmen und der Angemessenheit der Preise</t>
  </si>
  <si>
    <t xml:space="preserve">Nachtragsabwehr </t>
  </si>
  <si>
    <t>Beratung bei der Vergabe mit Vergabeempfehlung</t>
  </si>
  <si>
    <t>Führen von Bietergesprächen</t>
  </si>
  <si>
    <t>Erstellen der Vergabevorschläge, Dokumentation des Vergabeverfahrens</t>
  </si>
  <si>
    <t>Zusammenstellen der Vertragsunterlagen für alle Leistungsbereiche</t>
  </si>
  <si>
    <t>Vergleichen der Ausschreibungsergebnisse mit den vom Planer bepreisten Leistungsverzeichnissen oder der Kostenberechnung</t>
  </si>
  <si>
    <t>Mitwirken bei der Auftragserteilung</t>
  </si>
  <si>
    <t>h)</t>
  </si>
  <si>
    <t>8. Objektüberwachung</t>
  </si>
  <si>
    <t xml:space="preserve">Überwachen der Ausführung des Objekts auf Übereinstimmung mit der öffentlich-rechtlichen Genehmigung oder Zustimmung, den Verträgen mit ausführenden Unternehmen, den Ausführungsunterlagen, den einschlägigen Vorschriften sowie mit den allgemein anerkannten Regeln der Technik, bzw. mit dem Stand der Technik, sofern mit den ausführenden Unternehmen der Stand der Technik vereinbart wurde. </t>
  </si>
  <si>
    <t>Überwachung der Ausführung des Objektes im Sinne einer Qualitätssicherung mit ausreichend häufiger Begehung der Baustelle, Dokumentation der Qualitätsmängel und Abweichungen von der Planung sowie der Nachverfolgung und Überwachung der Mängelbeseitigung mit Führen der Mängelliste; Organisation, Teilnahme u. Protokollierung der Bemusterungstermine</t>
  </si>
  <si>
    <t>Überwachen der Ausführung von Tragwerken mit sehr geringen und geringen Planungsanforderungen auf Übereinstimmung mit dem Standsicherheitsnachweis</t>
  </si>
  <si>
    <t>Bericht zur Überwachung des Terminplans</t>
  </si>
  <si>
    <t>Koordinieren der an der Objektüberwachung fachlich Beteiligten</t>
  </si>
  <si>
    <t>Leistungsfeststellung gemäß Zahlungsplan mit Bautenstandsbericht und Rechnungsfreigabe</t>
  </si>
  <si>
    <t>Aufstellen, Fortschreiben und Überwachen eines Terminplans (Balkendiagramm)</t>
  </si>
  <si>
    <t>Dokumentation des Bauablaufs (z.B. Bautagebuch nach Muster des AG)</t>
  </si>
  <si>
    <t>Durchführung der technischen Vorbegehungen, der Abnahmebegehungen und der Abnahme unter Mitwirkung anderer an der Planung und Objekt-überwachung fachlich Beteiligter; Ermittlung der Mängelbeseitigungs- und Ausführungskosten zum Zeitpunkt der Abnahme vorhandener Mängel und Restleistungen</t>
  </si>
  <si>
    <t>gemeinsames Aufmaß mit den ausführenden Unternehmen</t>
  </si>
  <si>
    <t>Rechnungsprüfung einschließlich Prüfen der Aufmaße der bauausführenden Unternehmen, d.h. Ermittlung von Mehr- und Minderkosten zur Nachbeauftragung</t>
  </si>
  <si>
    <t>Bewertung von Abweichungen gegenüber der geschuldeten Leistung in technischer und monetärer Sicht</t>
  </si>
  <si>
    <t>Vergleich der Ergebnisse der Rechnungsprüfungen mit den Auftragssummen einschließlich Nachträgen</t>
  </si>
  <si>
    <t>Kostenkontrolle durch Überprüfen der Leistungsabrechnung der bauausführenden Unternehmen im Vergleich zu den Vertragspreisen</t>
  </si>
  <si>
    <t>Prüfen der Ausführungsplanung des GU/GÜ sowie erforderlicher Montagepläne auf Übereinstimmung mit der Entwurfsplanung, den Leitdetails und der FLB; Prüfung und Nachverfolgung der Nach-besserung bei mangelhafter Ausführungsplanung</t>
  </si>
  <si>
    <t>Kostenfeststellung, z.B. nach DIN 276</t>
  </si>
  <si>
    <t>j)</t>
  </si>
  <si>
    <t>Organisation der Abnahme der Bauleistungen unter Mitwirkung anderer an der Planung und Objektüberwachung fachlich Beteiligter, Feststellung von Mängeln, Abnahmeempfehlung für den Auftraggeber</t>
  </si>
  <si>
    <t>k)</t>
  </si>
  <si>
    <t>Antrag auf öffentlich-rechtliche Abnahmen und Teilnahme daran</t>
  </si>
  <si>
    <t>l)</t>
  </si>
  <si>
    <t>Entgegennahme der Dokumentations- und Revisionsunterlagen, Prüfung auf Vollständigkeit und Richtigkeit sowie auf Umsetzung der Vorgaben des AG bezüglich Struktur, Form und Inhalt</t>
  </si>
  <si>
    <t>systematische Zusammenstellung der Dokumentation, zeichnerischen Darstellungen und rechnerischen Ergebnisse des Objekts, einschl. Prüfung dieser Unterlagen auf Vollständigkeit und Richtigkeit</t>
  </si>
  <si>
    <t>m)</t>
  </si>
  <si>
    <t>Übergabe des Objekts</t>
  </si>
  <si>
    <t>n)</t>
  </si>
  <si>
    <t>Auflisten der Verjährungsfristen für Mängelansprüche</t>
  </si>
  <si>
    <t>o)</t>
  </si>
  <si>
    <t>Überwachen der Beseitigung der bei der Abnahme festgestellten Mängel</t>
  </si>
  <si>
    <t>p)</t>
  </si>
  <si>
    <t>9. Objektbetreuung</t>
  </si>
  <si>
    <t>LP 9</t>
  </si>
  <si>
    <t>Fachliche Bewertung der innerhalb der Verjährungsfristen für Gewährleistungsansprüche festgestellten Mängel, längstens jedoch bis zum Ablauf von fünf Jahren seit Abnahme der Leistung, einschließlich notwendiger Begehungen</t>
  </si>
  <si>
    <t>Objektbegehung zur Mängelfeststellung vor Ablauf der Verjährungsfristen für Mängelansprüche gegenüber den ausführenden Unternehmen</t>
  </si>
  <si>
    <t>Mitwirken bei der Freigabe von Sicherheitsleistungen</t>
  </si>
  <si>
    <t>insgesamt:</t>
  </si>
  <si>
    <t>*) Die Leistungsverzeichnisse sind im Kurz- und Langtext mit automatischer Silbentrennung zu erstellen und als GAEB-Schnittstelle im Dateiformat .d82* mit einem GAEB-Prüfbericht zu übersenden. Die Kosten sind aus beim Planer vorhandenen Kennziffern oder vergleichbaren Angebote abzuleiten.</t>
  </si>
  <si>
    <t>4.</t>
  </si>
  <si>
    <t>Auf - oder Abschlag auf die Grundleistungen:</t>
  </si>
  <si>
    <t xml:space="preserve">Vorläufiges Honorarangebot für die zunächst beauftragten &amp; vorausichtlichen Leistungen </t>
  </si>
  <si>
    <t>5.</t>
  </si>
  <si>
    <t xml:space="preserve">Honorarangebot für die zunächst zu Beauftragenden Leistungen: </t>
  </si>
  <si>
    <t>6.</t>
  </si>
  <si>
    <t>LPH 1</t>
  </si>
  <si>
    <t>LPH 2</t>
  </si>
  <si>
    <t>LPH 3</t>
  </si>
  <si>
    <t>LPH 4</t>
  </si>
  <si>
    <t>LPH 5a</t>
  </si>
  <si>
    <t>LPH 5b</t>
  </si>
  <si>
    <t>LPH 5c</t>
  </si>
  <si>
    <t>LPH 5d</t>
  </si>
  <si>
    <t>LPH 5e</t>
  </si>
  <si>
    <t>LPH 5f</t>
  </si>
  <si>
    <t>LPH 6</t>
  </si>
  <si>
    <t>LPH 7</t>
  </si>
  <si>
    <t>LPH 8</t>
  </si>
  <si>
    <t>LPH9</t>
  </si>
  <si>
    <t>1. Honorartafel gem. § 35, Abs. 1 HOAI 2020 - Gebäude</t>
  </si>
  <si>
    <t>Anrechenbare Kosten in Euro</t>
  </si>
  <si>
    <t>Honorarzone I</t>
  </si>
  <si>
    <t>Honorarzone II</t>
  </si>
  <si>
    <t>Honorarzone III</t>
  </si>
  <si>
    <t>Honorarzone IV</t>
  </si>
  <si>
    <t>Honorarzone V</t>
  </si>
  <si>
    <t>sehr geringe Anforderungen</t>
  </si>
  <si>
    <t>geringe Anforderungen</t>
  </si>
  <si>
    <t>durchschnittliche Anforderungen</t>
  </si>
  <si>
    <t>hohe Anforderungen</t>
  </si>
  <si>
    <t>sehr hohe Anforderungen</t>
  </si>
  <si>
    <t>von</t>
  </si>
  <si>
    <t>bis</t>
  </si>
  <si>
    <t>Flemming Tabelle</t>
  </si>
  <si>
    <t>2. Honorarzone, Honorarsatz, anrechenbare Kosten, mitzuverarbeitende Bausubstanz gem. HOAI 2020 - Gebäude</t>
  </si>
  <si>
    <t>Gebäude / Innenräume 1.1</t>
  </si>
  <si>
    <t>Honorarzone</t>
  </si>
  <si>
    <t>Honorarsatz</t>
  </si>
  <si>
    <t>Viertelsatz</t>
  </si>
  <si>
    <t>Mittelsatz</t>
  </si>
  <si>
    <t>Dreiviertelsatz</t>
  </si>
  <si>
    <t>Oberer Honorarsatz</t>
  </si>
  <si>
    <t>Kostenkonzeption</t>
  </si>
  <si>
    <t>Kostenschätzung</t>
  </si>
  <si>
    <t xml:space="preserve">Kostenberechnung </t>
  </si>
  <si>
    <t>Gesamtanrechenbare Kosten</t>
  </si>
  <si>
    <t>3. Rechenwerte (geringerer Wert/ höherer Wert gem. Honorartafel HOAI)</t>
  </si>
  <si>
    <t>Rechenwert 1</t>
  </si>
  <si>
    <t>anr. Kosten</t>
  </si>
  <si>
    <t>Rechenwert 2</t>
  </si>
  <si>
    <t xml:space="preserve">4.1 Rechenwerte gem. Honorarzone Vorschlag </t>
  </si>
  <si>
    <t>Differenz Rechenwert 1 zu Rechenwert 2</t>
  </si>
  <si>
    <t>Differenz zu anr. Kosten/ Honorarzone</t>
  </si>
  <si>
    <t xml:space="preserve">5.1 Interpolation/ Berechnung Honorarsatz Vorschlag </t>
  </si>
  <si>
    <t>a = Rechenwert 1 =</t>
  </si>
  <si>
    <t>b = Differenz niedriger Tafelwert - anr. Kosten =</t>
  </si>
  <si>
    <t>c = Differenz Rechenwert 1 - Rechenwert 2 =</t>
  </si>
  <si>
    <t>d =Differenz niedriger Tafelwert - höherer Tafelwert =</t>
  </si>
  <si>
    <t>Berechnungsformel:</t>
  </si>
  <si>
    <t>a + (b * c)/d =</t>
  </si>
  <si>
    <t xml:space="preserve">Honorargrundlage (100%) </t>
  </si>
  <si>
    <t>Gebäude 1.1</t>
  </si>
  <si>
    <t>Berechnung vorläufig beauftragte Leistungen</t>
  </si>
  <si>
    <t>Gebäude 1.2 (gem. 2.1.1 getrennte Berechnung)</t>
  </si>
  <si>
    <t>Grundleistungen/netto zzgl. Aufschlag</t>
  </si>
  <si>
    <t>Besondere Leistungen/netto</t>
  </si>
  <si>
    <t>Honorar außerhalb HOAI</t>
  </si>
  <si>
    <t>Grundleistungen/netto ohne Aufschlag</t>
  </si>
  <si>
    <t>Innenraum 1.2 (gem. 2.1.1 getrennte Berechnung)</t>
  </si>
  <si>
    <t>Teilrechnung</t>
  </si>
  <si>
    <t>5a</t>
  </si>
  <si>
    <t>5b</t>
  </si>
  <si>
    <t>5c</t>
  </si>
  <si>
    <t>5d</t>
  </si>
  <si>
    <t>5e</t>
  </si>
  <si>
    <t>5f</t>
  </si>
  <si>
    <t>Summe:</t>
  </si>
  <si>
    <t>Stufen = Grundleistungen + Auf-/Abschlag +Besonderen Leistungen</t>
  </si>
  <si>
    <t>LPH 9</t>
  </si>
  <si>
    <t>Gesamt</t>
  </si>
  <si>
    <t>Stufen = Grundleistungen + Auf-/Abschlag</t>
  </si>
  <si>
    <t>Stufen = Grundleistungen</t>
  </si>
  <si>
    <t>anrechenbare Kosten</t>
  </si>
  <si>
    <t>100 % HOAI nach Kostenberechnung</t>
  </si>
  <si>
    <t xml:space="preserve">Bewertung der Grundleistungen </t>
  </si>
  <si>
    <t xml:space="preserve">Die folgende Tabelle gibt die  geforderten Grundleistungen und Besonderen Leistungen wieder. </t>
  </si>
  <si>
    <t>Des Weiteren werden in der Spalte "zunächst beauftragt" die Leistungenn mit einem "ja" versehen, welche zunächst abgerufen werden sollen.</t>
  </si>
  <si>
    <t>Prozente nach der Simon-Tabelle</t>
  </si>
  <si>
    <t xml:space="preserve">Anzubietende Besondere Leistungen </t>
  </si>
  <si>
    <t>ja/nein</t>
  </si>
  <si>
    <t>Klären der Aufgabenstellung auf Grund der Vorgaben oder der Bedarfsplanung des Auftraggebers im Benehmen mit dem Objektplaner</t>
  </si>
  <si>
    <t xml:space="preserve">Mitwirken bei der Bedarfsplanung für komplexe Nutzungen zur Analyse der Bedürfnisse, Ziele und einschränkenden Gegebenheiten (Kosten-, Termine und andere Rahmenbedingungen) des Bauherrn und wichtiger Beteiligter </t>
  </si>
  <si>
    <t>Ermitteln der Planungsrandbedingungen und Beraten zum Leistungsbedarf und gegebenenfalls zur technischen Erschließung</t>
  </si>
  <si>
    <t>Bestandaufnahme, zeichnerische Darstellung und Nachrechnen vorhandener Anlagen und Anlagenteile</t>
  </si>
  <si>
    <t>Datenerfassung, Analysen und Optimierungsprozesse im Bestand</t>
  </si>
  <si>
    <t>Durchführen von Verbrauchsmessungen</t>
  </si>
  <si>
    <t>Endoskopische Untersuchungen</t>
  </si>
  <si>
    <t>Mitwirken bei der Ausführung von Auslobungen und bei Vorprüfungen für Planungswettbewerbe</t>
  </si>
  <si>
    <t xml:space="preserve">Erstellen von Leitungsbestandsplänen </t>
  </si>
  <si>
    <t>Analysieren der Grundlagen Mitwirken beim Abstimmen der Leistungen mit den Planungsbeteiligten</t>
  </si>
  <si>
    <t>Erarbeiten eines Planungskonzepts, dazu gehören zum Beispiel: Vordimensionieren der Systeme und maßbestimmenden Anlagenteile, Untersuchen von alternativen Lösungsmöglichkeiten bei gleichen Nutzungsanforderungen einschließlich Wirtschaftlichkeitsvorbetrachtung, zeichnerische Darstellung zur Integration in die Objektplanung unter Berücksichtigung exemplarischer Details, Angaben zum Raumbedarf</t>
  </si>
  <si>
    <t>Aufstellen eines Funktionsschemas bzw. Prinzipschaltbildes für jede Anlage</t>
  </si>
  <si>
    <t>Klären und Erläutern der wesentlichen fachübergreifenden Prozesse, Randbedingungen und Schnittstellen, Mitwirken bei der Integration der technischen Anlagen</t>
  </si>
  <si>
    <t>Vorverhandlungen mit Behörden über die Genehmigungsfähigkeit und mit den zu beteiligenden Stellen zur Infrastruktur</t>
  </si>
  <si>
    <t>Kostenschätzung nach DIN 276 (2. Ebene) und Terminplanung</t>
  </si>
  <si>
    <t xml:space="preserve">3. Entwurfsplanung </t>
  </si>
  <si>
    <t>Durcharbeiten des Planungskonzepts (stufenweise Erarbeitung einer Lösung) unter Berücksichtigung aller fachspezifischen Anforderungen sowie unter Beachtung der durch die Objektplanung integrierten Fachplanungen, bis zum vollständigen Entwurf</t>
  </si>
  <si>
    <t xml:space="preserve">Berechnung von Lebenszykluskosten </t>
  </si>
  <si>
    <t>Detaillierte Schadstoffemissionsberechnung für die ausgewählte Anlage</t>
  </si>
  <si>
    <t>Festlegen aller Systeme und Anlagenteile</t>
  </si>
  <si>
    <t>Berechnen und Bemessen der technischen Anlagen und Anlagenteile, Abschätzen von jährlichen Bedarfswerten (z. B. Nutz-, End- und Primärenergiebedarf) und Betriebskosten; Abstimmen des Platzbedarfs für technische Anlagen und Anlagenteile; Zeichnerische Darstellung des Entwurfs in einem mit dem Objektplaner abgestimmten Ausgabemaßstab mit Angabe maßbestimmender Dimensionen Fortschreiben und Detaillieren der Funktions- und Strangschemata der Anlagen Auflisten aller Anlagen mit technischen Daten und Angaben zum Beispiel für Energiebilanzierungen Anlagenbeschreibungen mit Angabe der Nutzungsbedingungen</t>
  </si>
  <si>
    <t>Aufstellen einer gewerkeübergreifenden Brandschutzmatrix</t>
  </si>
  <si>
    <t>Simulationen zur Prognose des Verhaltens von Gebäuden, Bauteilen, Räumen und Freiräumen</t>
  </si>
  <si>
    <t>Übergeben der Berechnungsergebnisse an andere Planungsbeteiligte zum Aufstellen vorgeschriebener Nachweise; Angabe und Abstimmung der für die Tragwerksplanung notwendigen Angaben über Durchführungen und Lastangaben (ohne Anfertigen von Schlitz- und Durchführungsplänen)</t>
  </si>
  <si>
    <t>Verhandlungen mit Behörden und mit anderen zu beteiligenden Stellen über die Genehmigungsfähigkeit</t>
  </si>
  <si>
    <t>Kostenberechnung nach DIN 276 (3. Ebene) und Terminplanung</t>
  </si>
  <si>
    <t>Kostenkontrolle durch Vergleich der Kostenberechnung mit der Kostenschätzung</t>
  </si>
  <si>
    <t>Erarbeiten und Zusammenstellen der Vorlagen und Nachweise für öffentlich-rechtliche Genehmigungen oder Zustimmungen einschließlich der Anträge auf Ausnahmen oder Befreiungen sowie Mitwirken bei Verhandlungen mit Behörden</t>
  </si>
  <si>
    <t>Vervollständigen und Anpassen der Planungsunterlagen, Beschreibungen und Berechnungen</t>
  </si>
  <si>
    <t>Erarbeiten der Ausführungsplanung auf Grundlage der Ergebnisse der Leistungsphasen 3 und 4 (stufenweise Erarbeitung und Darstellung der Lösung) unter Beachtung der durch die Objektplanung integrierten Fachplanungen bis zur ausführungsreifen Lösung</t>
  </si>
  <si>
    <t>Prüfen und Anerkennen von Schalplänen des Tragwerkplaners auf Übereinstimmung mit der Schlitz- und Durchbruchsplanung</t>
  </si>
  <si>
    <t xml:space="preserve">Leerrohrplanung mit besonderem Aufwand (z.B. bei Sichtbeton oder Fertigteilen) </t>
  </si>
  <si>
    <t>Fortschreiben der Berechnungen und Bemessungen zur Auslegung der technischen Anlagen und Anlagenteile
Zeichnerische Darstellung der Anlagen in einem mit dem Objektplaner abgestimmten Ausgabemaßstab und Detaillierungsgrad einschließlich Dimensionen (keine Montage- oder Werkstattpläne)
Anpassen und Detaillieren der Funktions- und Strangschemata der Anlagen bzw. der GA-Funktionslisten
Abstimmen der Ausführungszeichnungen mit dem Objektplaner und den übrigen Fachplanern</t>
  </si>
  <si>
    <t>Mitwirkung bei Detailplanungen mit besonderem Aufwand, z.B. Darstellung von Wandabwicklungen in hochinstallierten Bereichen</t>
  </si>
  <si>
    <t>Anfertigen von Schlitz- und Durchbruchsplänen</t>
  </si>
  <si>
    <t>Fortschreibung des Terminplans</t>
  </si>
  <si>
    <t>Fortschreiben der Ausführungsplanung auf den Stand der Ausschreibungsergebnisse und der dann vorliegenden Ausführungsplanung des Objektplaners, Übergeben der fortgeschriebenen Ausführungsplanung an die ausführenden Unternehmen</t>
  </si>
  <si>
    <t>Prüfen und Anerkennen der Montage- und Werkstattpläne der ausführenden Unternehmen auf Übereinstimmung mit der Ausführungsplanung</t>
  </si>
  <si>
    <t>Ermitteln von Mengen als Grundlage für das Aufstellen von Leistungsverzeichnissen in Abstimmung mit Beiträgen anderer an der Planung fachlich Beteiligter</t>
  </si>
  <si>
    <t>Leistungsverzeichnis für geschlossene Leistungsbereiche</t>
  </si>
  <si>
    <t>Aufstellen der Vergabeunterlagen, insbesondere mit Leistungsverzeichnissen nach Leistungsbereichen, einschließlich der Wartungsleistungen auf Grundlage bestehender Regelwerke</t>
  </si>
  <si>
    <t>Fachplanerische Zuarbeit für das Aufstellen der Funktionalen Leistungsbeschreibung unter Verwendung der Beiträge anderer an der Planung fachlich Beteiligter auf Grundlage der Entwurfs- und Genehmigungsplanung, der Leitdetails sowie einer detaillierten Objektbeschreibung mit abgestimmter Bemusterungsliste; Zuarbeit für das Fortschreiben der Vergabeunterlagen im Vergabeprozess</t>
  </si>
  <si>
    <t>Besondere Ausarbeitung z.B. für Selbsthilfe</t>
  </si>
  <si>
    <t>Mitwirken beim Abstimmen der Schnittstellen zu den Leistungsbeschreibungen der anderen an der Planung fachlich Beteiligten</t>
  </si>
  <si>
    <t>Ermitteln der Kosten auf Grundlage der vom Planer bepreisten Leistungsverzeichnisse</t>
  </si>
  <si>
    <t>Zusammenstellen der Vergabeunterlagen</t>
  </si>
  <si>
    <t>Prüfen und Werten von Nebenangeboten</t>
  </si>
  <si>
    <t>Prüfen und Werten der Angebote, Aufstellen der Preisspiegel nach Einzelpositionen, Prüfen und Werten der Angebote für zusätzliche oder geänderte Leistungen der ausführenden Unternehmen und der Angemessenheit der Preise</t>
  </si>
  <si>
    <t>Vergleichen der Ausschreibungsergebnisse mit den vom Planer bepreisten Leistungsverzeichnissen und der Kostenberechnung</t>
  </si>
  <si>
    <t>Erstellen der Vergabevorschläge, Mitwirken bei der Dokumentation der Vergabeverfahren</t>
  </si>
  <si>
    <t>Zusammenstellen der Vertragsunterlagen und bei der Auftragserteilung</t>
  </si>
  <si>
    <t>8. Objektüberwachung und Dokumentation</t>
  </si>
  <si>
    <t>Überwachen der Ausführung des Objekts auf Übereinstimmung mit der öffentlich-rechtlichen Genehmigung oder Zustimmung, den Verträgen mit den ausführenden Unternehmen, den Ausführungsunterlagen, den Montage- und Werkstattplänen, den einschlägigen Vorschriften und den allgemein anerkannten Regeln der Technik</t>
  </si>
  <si>
    <t>Überwachung der Ausführung des Objektes im Sinne einer Qualitätssicherung mit ausreichend häufiger Begehung der Baustelle ab Beginn der Gewerke der Technischen Ausrüstung, Dokumentation der Qualitätsmängel und Abweichungen von der Planung sowie der Nachverfolgung und Überwachung der Mängelbeseitigung mit Führen der Mängelliste;
Organisation, Teilnahme u. Protokollierung der relevanten Bemusterungstermine</t>
  </si>
  <si>
    <t>Mitwirken bei der Koordination der am Projekt Beteiligten</t>
  </si>
  <si>
    <t>Aufstellen, Fortschreiben und Überwachen des Terminplans (Balkendiagramm)</t>
  </si>
  <si>
    <t>Dokumentation des Bauablaufs (Bautagebuch)</t>
  </si>
  <si>
    <t>Prüfen und Bewerten der Notwendigkeit geänderter oder zusätzlicher Leistungen der Unternehmer und der Angemessenheit der Preise</t>
  </si>
  <si>
    <t>Gemeinsames Aufmaß mit den ausführenden Unternehmen</t>
  </si>
  <si>
    <t>Rechnungsprüfung in rechnerischer und fachlicher Hinsicht mit Prüfen und Bescheinigen des Leistungsstandes anhand nachvollziehbarer Leistungsnachweise</t>
  </si>
  <si>
    <t>Zuarbeit zur Leistungsfeststellung gemäß Zahlungsplan mit Bautenstandsbericht für Rechnungsfreigabe durch den Objektplaner</t>
  </si>
  <si>
    <t>Prüfen der Ausführungsplanung des GU/GÜ sowie der Montage- und Werkstattpläne auf Übereinstimmung mit der Entwurfsplanung, den Leitdetails und der FLB; Prüfung und Nachverfolgung der Nachbesserung bei mangelhafter Ausführungsplanung</t>
  </si>
  <si>
    <t>Kostenkontrolle durch Überprüfen der Leistungsabrechnungen der ausführenden Unternehmen im Vergleich zu den Vertragspreisen und dem Kostenanschlag</t>
  </si>
  <si>
    <t>Kostenfeststellung</t>
  </si>
  <si>
    <t>Mitwirken bei Leistungs- u. Funktionsprüfungen</t>
  </si>
  <si>
    <t>Durchführung der fachtechnischen Vorbegehungen, Abnahmebegehungen und der Abnahme auf Grundlage der vorgelegten Dokumentation unter Mitwirkung anderer an der Planung und Objektüberwachung fachlich Beteiligter; Ermittlung der Mängelbeseitigungs- und Ausführungskosten zum Zeitpunkt der Abnahme vorhandener Mängel und Restleistungen</t>
  </si>
  <si>
    <t>fachtechnische Abnahme der Leistungen auf Grundlage der vorgelegten Dokumentation, Erstellung eines Abnahmeprotokolls, Feststellen von Mängeln und Erteilen einer Abnahmeempfehlung</t>
  </si>
  <si>
    <t>Antrag auf behördliche Abnahmen und Teilnahme daran</t>
  </si>
  <si>
    <t>Prüfung der übergebenen Revisionsunterlagen auf
Vollzähligkeit, Vollständigkeit und stichprobenartige Prüfung auf Übereinstimmung mit dem Stand der Ausführung</t>
  </si>
  <si>
    <t>Auflisten der Verjährungsfristen der Ansprüche auf Mängelbeseitigung</t>
  </si>
  <si>
    <t>Systematische Zusammenstellung der Dokumentation, der zeichnerischen Darstellungen und rechnerischen Ergebnisse des Objekts</t>
  </si>
  <si>
    <t>Honorartafel gem. § 56, Abs. 1 HOAI 2020 - Technische Gebäudeausrüstung</t>
  </si>
  <si>
    <t>Anlagengruppe 1 - Abwasser-, Wasser-, Gasanlagen</t>
  </si>
  <si>
    <t>1.1 Honorarzone, Honorarsatz, anrechenbare Kosten, mitzuverarbeitende Bausubstanz gem. HOAI 2020 - TGA</t>
  </si>
  <si>
    <t>Objekt 1.1</t>
  </si>
  <si>
    <t>Anrechenbare Kosten</t>
  </si>
  <si>
    <t>1.2 Rechenwerte (geringerer Wert/ höherer Wert gem. Honorartafel HOAI)</t>
  </si>
  <si>
    <t>Rechen- wert 1</t>
  </si>
  <si>
    <t>Rechen- wert 2</t>
  </si>
  <si>
    <t>1.3 Rechenwerte gem. Honorarzone</t>
  </si>
  <si>
    <t>1.4 Interpolation/ Berechnung Honorarsatz</t>
  </si>
  <si>
    <t>Honorar (100%)</t>
  </si>
  <si>
    <t>Honorargrundlage (100%)</t>
  </si>
  <si>
    <t>Grundleistungen</t>
  </si>
  <si>
    <t>Besondere Leistungen</t>
  </si>
  <si>
    <t>Vorläufig Gesamt</t>
  </si>
  <si>
    <t xml:space="preserve">zzgl. Aufschlag: </t>
  </si>
  <si>
    <t xml:space="preserve">Gesamt zzgl Aufschlag: </t>
  </si>
  <si>
    <t>zzgl. Mehrwertsteuer</t>
  </si>
  <si>
    <t xml:space="preserve">Gesamt gesamt: </t>
  </si>
  <si>
    <t>Anlagengruppe 2 -  Wärmversorgung</t>
  </si>
  <si>
    <t xml:space="preserve">Anlagengrupppe Starkstromanlagen                          Anlagengrupppe Starkstromanlagen                 Anlagengrupppe Starkstromanlagen                    Anlagengrupppe Starkstromanlagen                    Anlagengrupppe Starkstromanlagen                            </t>
  </si>
  <si>
    <t xml:space="preserve">Anlagengrupppe Starkstromanlagen                          Anlagengrupppe Starkstromanlagen                 Anlagengrupppe Starkstromanlagen                    Anlagengrupppe Starkstromanlagen                    Anlagengrupppe Starkstromanlagen                    Anlagengrupppe Starkstromanlagen                    </t>
  </si>
  <si>
    <t>6. Vorbereitung der Vergabe                                 Anlagengrupppe Wärmeversorgung                                 Anlagengrupppe Wärmeversorgung                                 Anlagengrupppe Wärmeversorgung                                 Anlagengrupppe Wärmeversorgung                                 Anlagengrupppe Wärmeversorgung</t>
  </si>
  <si>
    <t>1. Honorartafel gem. § 3 Abs. 1 HOAI 2022 - Bauphysik - Wärmeschutz und Energiebilanzierung</t>
  </si>
  <si>
    <t>2. Honorarzone, Honorarsatz, anrechenbare Kosten, mitzuverarbeitende Bausubstanz gem. HOAI 2020 - Freianlagen</t>
  </si>
  <si>
    <t>Grundleistungen/netto</t>
  </si>
  <si>
    <t>zzgl Aufschlag</t>
  </si>
  <si>
    <t>1. Honorartafel gem. § 3 Abs. 1 HOAI 2022 - Bauphyik - Bauakustik</t>
  </si>
  <si>
    <t>,</t>
  </si>
  <si>
    <t>1. Honorartafel gem. § 3 Abs. 1 HOAI 2022 - Bauphyik - Raumakustik</t>
  </si>
  <si>
    <t xml:space="preserve">hohe Anforderungen </t>
  </si>
  <si>
    <t xml:space="preserve">sehr hohe Anforderungen </t>
  </si>
  <si>
    <t>1. Honorartafel gem. § 40 Abs. 1 HOAI 2020 - Freianlagenplanung</t>
  </si>
  <si>
    <t>Honorarangebot - Technische Ausrüstung</t>
  </si>
  <si>
    <t>Vergütungsvereinbarung - Technische Ausrüstung</t>
  </si>
  <si>
    <t>Anlagengruppe 2 -  Technische Ausrüstung</t>
  </si>
  <si>
    <t>Pauschalhonorar/netto (Stundensatz und -anzahl dienen nur der Plausibilisierung)</t>
  </si>
  <si>
    <t>Honorarangebot zu weiteren Besonderen Leistungen</t>
  </si>
  <si>
    <t>Honorar, netto (Abrechnung erfolgt auf Stundenbasis)</t>
  </si>
  <si>
    <t>Vergütungsvereinbarung zu weiteren Besonderen Leistungen</t>
  </si>
  <si>
    <t>Einzelne Besondere Leistungen</t>
  </si>
  <si>
    <t xml:space="preserve"> Besondere Leistungen im Zusammenhang mit Instandsetzungen und Modernisierungen</t>
  </si>
  <si>
    <t>Erforderliche Stundenanzahl</t>
  </si>
  <si>
    <t>Stundensatz, netto</t>
  </si>
  <si>
    <t>SiGeKo-Leistungen gemäß Baustellenverordnung</t>
  </si>
  <si>
    <t>Ornithologische Untersuchungen</t>
  </si>
  <si>
    <t>Bestandsaufnahme der Gebäude und ggf. der Wohnungen</t>
  </si>
  <si>
    <t>Erstellung von Bestandsunterlagen</t>
  </si>
  <si>
    <t>Bauzustandsanalyse einschließlich bautechnischer Bestandsgutachten, u. a. mit Wärmebildkamera</t>
  </si>
  <si>
    <t>Schadstoffgutachten einschließlich Entsorgungskonzept</t>
  </si>
  <si>
    <t>Mitwirkung bei der Mieterbetreuung, z. B. Zuarbeit für die Modernisierungsankündigung und -abrechnung</t>
  </si>
  <si>
    <t>Mitwirkung bei der Abwicklung von Fördermöglichkeiten</t>
  </si>
  <si>
    <t>Erarbeitung eines Müllkonzeptes einschließlich Erwirkung der Standortgenehmigung</t>
  </si>
  <si>
    <t>Anfertigung von Vermietungsgrundrissen nach Vorgaben des AG und Zuarbeit erforderlicher Daten</t>
  </si>
  <si>
    <t>Mitwirkung bei der Erstellung einer "Mieterfibel" bestehend aus Bedienungsanleitungen oder Benutzungshinweisen</t>
  </si>
  <si>
    <t>Überwachung der Mängelbeseitigung innerhalb der Gewährleistungsfrist</t>
  </si>
  <si>
    <t>erforderliche brandschutztechnische Planung</t>
  </si>
  <si>
    <t>Lüftungskonzept</t>
  </si>
  <si>
    <t>Schallschutztechnisches Gutachten</t>
  </si>
  <si>
    <t>Energieausweis</t>
  </si>
  <si>
    <t>Nachweis nach Energieeinsparverordnung sowie erforderliche bauphysikalische Nachweise</t>
  </si>
  <si>
    <t>Teilnahme an Mietersprechstunden während der Bauzeit (als Ergänzung zu Mieterbetreuung…)</t>
  </si>
  <si>
    <t>Erforderlich statisch-konstruktive Berechnungen</t>
  </si>
  <si>
    <t>Abstimmung mit Behörden für die Erlangung behördlicher Zustimmungen</t>
  </si>
  <si>
    <t xml:space="preserve">Organisation der Bemusterung </t>
  </si>
  <si>
    <t xml:space="preserve">Teilnahme an der Bemusterung </t>
  </si>
  <si>
    <t xml:space="preserve">Objektplanung für Baugrube </t>
  </si>
  <si>
    <t>Schließplan/Schließanlagenkonzept in Abstimmung mit dem AG</t>
  </si>
  <si>
    <t>Beschilderungsplan/ Beschilderungskonzept in Abstimmung mit dem AG einschl. Fluchtwegepläne</t>
  </si>
  <si>
    <t xml:space="preserve"> Besondere Leistungen im Zusammenhang mit der Hochbauplanung</t>
  </si>
  <si>
    <t>Pauschalhonorar (Stundensatz und -anzahl dienen nur der Plausibilisierung)</t>
  </si>
  <si>
    <t>farbige 3-D-Visualisierung / perspektivische Darstellung von 3 Standorten (je Bauvorhaben)</t>
  </si>
  <si>
    <t>Farbkonzept mit künstlerischer Anmutung (je Bauvorhaben)</t>
  </si>
  <si>
    <t>Nachweis über die Einhaltung der Richtlinien und Merkblätter der Berliner Feuerwehr</t>
  </si>
  <si>
    <t>Mitwirkung bei der Fördermittelbeschaffung einschl. Erarbeitung der IBB-Anträge mit Kostenberechnung nach DIN 276 (2. Ebene), Kostenverfolgung bis Kostenfeststellung und Teilnahme an Abstimmungsgesprächen sowie Abrechnung</t>
  </si>
  <si>
    <t>Mitwirkung bei der Fördermittelbeschaffung einschl. Erarbeitung der KfW-Anträge, Teilnahme an Abstimmungsgesprächen sowie Abrechnung</t>
  </si>
  <si>
    <t>Erarbeitung Müllkonzept einschl. Erwirkung der Standortgenehmigung (ggf., wenn nicht bei Feianlagenplaner)</t>
  </si>
  <si>
    <t>Verkehrstechnische Untersuchung und Erstellung eines Verkehrskonzept (inkl. Tiefgaragenkonzept)</t>
  </si>
  <si>
    <t>Begleitung der Öffentlichkeitsarbeit im Zusammenhang mit Anwohnern, Bürgern u. polit. Vertretern einschl. Teilnahme an Sitzungen in polit. Gremien oder im Rahmen der Öffentlichkeitsarbeit oder bei Workshops</t>
  </si>
  <si>
    <t>Vorbereitung planerischer Grundlagen und Mitwirkung bei der Nachbarschaftsabstimmung</t>
  </si>
  <si>
    <t>Logistikkonzept mit Planung der Baustelleneinrichtung</t>
  </si>
  <si>
    <t>Überwachung der Mängelbeseitigung innerhalb der Verjährungsfrist</t>
  </si>
  <si>
    <t xml:space="preserve">Gewerkeweise Kostenverfolgung ab der Kostenberechnung </t>
  </si>
  <si>
    <t>Nachgeführte Planung im Zusammenhang mit den Aufzügen (entsprechend Vorgaben des Herstellers einschl. Schachtmaße u. Unterfahrt)</t>
  </si>
  <si>
    <t>Mitwirkung bei der Erstellung einer "Mieterfibel", bestehend aus Bedienungsanleitungen der technischen Besonderheiten und Benutzungshinweisen der jeweiligen Wohnungen (auch hinsichtl. der Vorgaben der IBB)</t>
  </si>
  <si>
    <t>SiGeKo-Leistungen gem. Baustellenverordnung</t>
  </si>
  <si>
    <t xml:space="preserve"> Besondere Leistungen im Zusammenhang mit der Tragwerksplanung</t>
  </si>
  <si>
    <t>Pauschalhonorar (Stundensatz und -anzahl dienen der Plausibilisierung)</t>
  </si>
  <si>
    <t>Nachgeführte Planung/Bemessung der Aufzugschachtsohlen/-unterfahrten für Anordnung eines Kranes (entsprechend Vorgaben des Herstellers einschl. Schachtmaßen u. Unterfahrten)</t>
  </si>
  <si>
    <t>Sondergründungsmaßnahmen</t>
  </si>
  <si>
    <t>Planungs- und Beratungsleistungen bez. der Abdichtung des Gebäudes mit WU-Betonkonstruktionen</t>
  </si>
  <si>
    <t xml:space="preserve"> Besondere Leistungen im Zusammenhang mit der Freianlagenplanung</t>
  </si>
  <si>
    <t>Überwachung der Entwicklungs- u. Unterhaltungspflege</t>
  </si>
  <si>
    <t>Erarbeitung Müllkonzept einschl. Erwirkung der Standortgenehmigung (ggf., wenn nicht bei Objektplaner)</t>
  </si>
  <si>
    <t xml:space="preserve"> Besondere Leistungen im Zusammenhang mit der Technischen Ausrüstung</t>
  </si>
  <si>
    <t xml:space="preserve">Leitungsmanagement: Koordination/Organisation/Begleitung der Bestandsleitungen/Leitungsumverlegungen über alle LPH auf dem Baugrundstück </t>
  </si>
  <si>
    <t>Leitungsmanagement: Koordination/Organisation/Begleitung der Bestandsleitungen/Leitungsumverlegungen über alle LPH am Baugrundstück (im öffentl. Bereich bzw. auf Nachbargrundstücken)</t>
  </si>
  <si>
    <t>Überflutungsnachweis Ableitungssysteme / Versickerung nach DIN 1986-100 (ggf., wenn nicht bei Freianlagenplanung)</t>
  </si>
  <si>
    <t xml:space="preserve"> Besondere Leistungen im Zusammenhang mit der Bauphysik</t>
  </si>
  <si>
    <t>Honorar, netto</t>
  </si>
  <si>
    <t>detaillierte Wärmebrückenberechnung zum Ansatz eines Wärmebrückenzuschlags von ΔUWB &lt; 0,02 W(m²K); soweit erforderlich ist für die Wärmebrücken ein (stationärer) Tauwassernachweis zu führen, x-fach</t>
  </si>
  <si>
    <t>Raumakustische Berechnung nach Vorgaben AG</t>
  </si>
  <si>
    <t>Hygrothermische Simulation Gründach</t>
  </si>
  <si>
    <t xml:space="preserve"> Besondere Leistungen im Zusammenhang mit dem Brandschutz</t>
  </si>
  <si>
    <t>Klären der Aufgabenstellung und des  Planungsumfangs. Klären, inwieweit besondere Fachplaner einzubeziehen sind, und Festlegen der Aufgabenverteilung</t>
  </si>
  <si>
    <t>Zusammenstellen der Ergebnisse</t>
  </si>
  <si>
    <t xml:space="preserve">Bestandserfassung vor Ort </t>
  </si>
  <si>
    <t>Auswerten von übergebenen Bauakten</t>
  </si>
  <si>
    <t>Feststellen einschlägiger Rechtsgrundlagen und der wesentlichen materiell-rechtlichen Anforderungen aufgrund der Art, Nutzung, Bauweise, Größe, Nachbarschaft und des gestalterischen Konzepts sowie eventuell beanspruchter Abweichungen von bauordnungsrechtlichen Vorschriften</t>
  </si>
  <si>
    <t xml:space="preserve">Erarbeiten der Grundzüge des Brandschutzkonzepts
einschließlich Möglichkeiten beim abwehrenden Brandschutz und Grundlagen für anlagentechnische Maßnahmen </t>
  </si>
  <si>
    <t>Erstellen von Brandschutzskizzen zur Visualisierung der baulichen Maßnahmen und des anlagentechnischen Konzepts</t>
  </si>
  <si>
    <t>Stichpunkthaftes Zusammenstellen der Vorplanungsergebnisse</t>
  </si>
  <si>
    <t xml:space="preserve">Qualitative Analyse der vorgesehenen Nutzung hinsichtlich besonderer Brand- und Explosionsgefahren oder Wassergefährdungsklassen </t>
  </si>
  <si>
    <t>Erarbeiten eines Entrauchungskonzepts für spezielle Fragestellungen</t>
  </si>
  <si>
    <t xml:space="preserve">Erarbeiten eines Evakuierungskonzepts für spezielle Fragestellungen  </t>
  </si>
  <si>
    <t xml:space="preserve">Auswerten von übergebenen Listen/Sicherheitsdatenblättern zu brennbaren Flüssigkeiten oder Gefahrstoffen </t>
  </si>
  <si>
    <t xml:space="preserve">Abgleich mit den Vorschriften des Arbeitsschutzes zur Auslegung der Rettungswege  </t>
  </si>
  <si>
    <t>Teilnehmen an Besprechungen, an denen der Brandschutz nicht gebündelt behandelt wird</t>
  </si>
  <si>
    <t>Erarbeiten des Brandschutzkonzepts ggf. unter Berücksichtigung der Wechselwirkung zwischen den baulichen und anlagentechnischen Maßnahmen</t>
  </si>
  <si>
    <t>Konkretisieren von allen objektspezifischen Brandschutzanforderungen</t>
  </si>
  <si>
    <t>Mitwirken bei Abstimmungen mit Behörden, Brandschutzdienststellen und/oder Feuerwehr</t>
  </si>
  <si>
    <t>Zusammenstellen wesentlicher lnhalte als Entwurf des textlichen Erläuterungsberichts zum Stand der Entwurfsplanung</t>
  </si>
  <si>
    <t>Festlegen der maßgebenden Brandszenarien und numerische Brandsimulation oder qualitative Analysen</t>
  </si>
  <si>
    <t>Erarbeiten eines Evakuierungskonzepts auf Basis ingenieurmäßiger Methoden</t>
  </si>
  <si>
    <t>Erarbeiten des Erläuterungsberichts gemäß den jeweils geltenden bauaufsichtlichen Verfahrensvorschriften mit Darstellung
- der Rechtsgrundlagen, die der Planung zugrunde liegen
- des Brandschutzkonzepts mit den baulichen, anlagentechnischen und betrieblichen Maßnahmen
- der Erfordernisse zur Wahrung der Belange des abwehrenden Brandschutzes</t>
  </si>
  <si>
    <t>Erstellen von Brandschutzplänen als Visualisierung der baulichen Brandschutzmaßnahmen und des anlagentechnischen Konzepts</t>
  </si>
  <si>
    <t>Begründen von Abweichungen</t>
  </si>
  <si>
    <t>Zusammenstellen der vorgenannten Unterlagen</t>
  </si>
  <si>
    <t>Überprüfen von Bauvorlagen auf zutreffende Umsetzung der Brandschutzplanung und auf Übereinstimmung mit dem Erläuterungsbericht</t>
  </si>
  <si>
    <t>Fortschreiben des prinzipiell genehmgungsfähigen Brandschutzkonzepts um die Ergebnisse der Vorprüfung der Bauaufsichtsbehörden oder Forderungen des Prüfsachverständigen/Prüfingenieurs</t>
  </si>
  <si>
    <t>Rettungswegeführung aus Nachbargebäuden während der Bauzeit</t>
  </si>
  <si>
    <t>Prüfen der Baugenehmigung auf einen ggf. gebotenen Widerspruch bezogen auf das Brandschutzkonzept</t>
  </si>
  <si>
    <t>Beraten bei Anfragen der Objekt-und Fachplaner hinsichtlich der integrierten brandschutztechnischen Fachleistung bis zur ausführungsreifen Lösung auf Basis des genehmigten Brandschutzkonzeptes einschließlich der Auflagen aus der Genehmigung</t>
  </si>
  <si>
    <t>Mitwirken an der Koordination der Fachplanung an brandschutzrelevanten Schnittstellen</t>
  </si>
  <si>
    <t>Mitwirken bei Feststellung der Eignung vorgelegter Verwendbarkeitsnachweise für die Einbausituation</t>
  </si>
  <si>
    <t xml:space="preserve">Prüfen, inwieweit zusätzliche genehmigungspflichtige Sachverhalte entstanden sind </t>
  </si>
  <si>
    <t>Prüfen von Ausführungsplänen und Montageplänen der Objekt- und Fachplaner hinsichtlich des baulichen Brandschutzes</t>
  </si>
  <si>
    <t>Mitwirken bei dem Erstellen einer gesonderten Bauvorlage zur Lüftungsanlage („Lüftungsgesuch“)</t>
  </si>
  <si>
    <t>Prüfen von Funktionsbeschreibungen des anlagentechnischen Brandschutzes</t>
  </si>
  <si>
    <t>Mitwirken bei der Einholung von Zustimmung im Einzelfall</t>
  </si>
  <si>
    <t>Mitwirken bei dem Erstellen des Brandmelde- und Alarmierungskonzeptes</t>
  </si>
  <si>
    <t>Mitwirken bei dem Erstellen einer gewerkeübergreifenden Brandschutzmatrix</t>
  </si>
  <si>
    <t>Planung der Ausstattung mit Feuerlöschern</t>
  </si>
  <si>
    <t>Beraten der Objekt- und Fachplaner bei der Erstellung der brandschutztechnischen Teile des Leistungsverzeichnisses</t>
  </si>
  <si>
    <t>Prüfen von definierten brandschutztechnischen Teilleistungen im Leistungsverzeichnis</t>
  </si>
  <si>
    <t>Mitwirken bei der Anfertigung von Ausschreibungszeichnungen bei Leistungsbeschreibungen mit Leistungsprogramm</t>
  </si>
  <si>
    <t>Beraten der Objekt- und Fachplaner bei der Auswertung der brandschutzrelevanten Teile der Leistungsverzeichniss</t>
  </si>
  <si>
    <t>Prüfen der Ausführung des Objektes auf prinzipielle Übereinstimmung mit dem genehmigten Brandschutzkonzept einschließlich der Auflagen aus der Genehmigung an bis zu drei Begehungseinheiten</t>
  </si>
  <si>
    <t>Kontrolle der vorgelegten Verwendbarkeitsnachweise und Bescheinigungen zum baulichen Brandschutz</t>
  </si>
  <si>
    <t>Prüfen der Plausibilität der Sachverständigenbescheinigungen oder Sachkundigenbestätigungen für die brandschutzrelevanten Anlagen auf Schnittstellen</t>
  </si>
  <si>
    <t>Mitwirken bei der Vorbereitung von behördlichen Prüfungen/Begehungen und Teilnahme daran</t>
  </si>
  <si>
    <t>Erstellen eines Statusberichtes einschließlich Bewerten der Möglichkeiten für die Inbetriebnahme</t>
  </si>
  <si>
    <t>Fachbauleitung Brandschutz als systematisch-stichprobenartige und ggf. zerstörende Kontrolle von baulichen Brandschutzmaßnahmen</t>
  </si>
  <si>
    <t>Mitwirken bei der fachtechnischen Abnahme von Sonderbauteilen, Anlagen und Einrichtungen zur Feststellung von Mängeln</t>
  </si>
  <si>
    <t>Mitwirken bei der Erstellung der Brandschutzordnung für die Baustelle</t>
  </si>
  <si>
    <t>Mitwirken bei der Prüfung der Steuermatrix</t>
  </si>
  <si>
    <t>Aktualisierung des Erläuterungsberichts und der Brandschutzpläne</t>
  </si>
  <si>
    <t>Mitwirken bei der Überwachung zur Beseitigung der bei der Abnahme festgestellten Mängel</t>
  </si>
  <si>
    <t>Erstellen oder Prüfen von Feuerwehrpläne</t>
  </si>
  <si>
    <t>Erstellen oder Prüfen von Flucht- und Rettungsplänen</t>
  </si>
  <si>
    <t>Mitwirken bei der Erstellung der Brandschutzordnung, des Betriebshandbuches, des Alarm- und Gefahrenabwehrplans</t>
  </si>
  <si>
    <t xml:space="preserve"> Besondere Leistungen Plancontrolling</t>
  </si>
  <si>
    <t>: Prüfung der vorliegenden Entwurfs-, Genehmigungs- und Ausführungsplanung auf Eignung als Grundlage für die Erarbeitung der Vergabeunterlage durch den AN</t>
  </si>
  <si>
    <t>Prüfung auf Vollständigkeit, Bearbeitungstiefe und fachübergreifende Konformität (Gleichstellung und Integration der Objekt- und Fachplanungen sowie der dazugehörigen Gutachten)</t>
  </si>
  <si>
    <t>Prüfung auf technische Plausibilität, Ausführbarkeit und Übereinstimmung mit den anerkannten Regeln der Technik; Prüfung auf Potenzial zur Kostenoptimierung</t>
  </si>
  <si>
    <t>Unterstützung des AG bei der Durchsetzung von Vertragspflichten der Entwurfsverfasser, insbesondere zur Vervollständigung und -berichtigung der Entwurfs- und Genehmigungsplanung und Ausführungsplanung</t>
  </si>
  <si>
    <t>Prüfung und Nachverfolgung der Nachbesserung</t>
  </si>
  <si>
    <t xml:space="preserve">2. </t>
  </si>
  <si>
    <t>Honorarsumme für die besonderen Leistungen:</t>
  </si>
  <si>
    <t xml:space="preserve">3. </t>
  </si>
  <si>
    <t>Berechnung vorläufig beauftragte Besondere  Leistungen zu Modernisierung und Instandsetzung</t>
  </si>
  <si>
    <t>Berechnung vorläufig beauftragte Besondere Leistungen im Zusammenhang mit der Hochbauplanung</t>
  </si>
  <si>
    <t>Berechnung vorläufig beauftragte Besondere Leistungen im Zusammenhang mit der Tragwerksplanung</t>
  </si>
  <si>
    <t>Berechnung vorläufig beauftragte Besondere Leistungen im Zusammenhang mit der Freianlagenplanung</t>
  </si>
  <si>
    <t xml:space="preserve"> Berechnung vorläufig beauftragte Besondere Leistungen im Zusammenhang mit der Bauphysik</t>
  </si>
  <si>
    <t xml:space="preserve"> Berechnung vorläufig beauftragte Besondere Leistungen Brandschutzplanung</t>
  </si>
  <si>
    <t xml:space="preserve"> Berechnung vorläufig beauftragte Besondere Leistungen Plancontrolling</t>
  </si>
  <si>
    <t>Summe</t>
  </si>
  <si>
    <t>Summe Gesamt:</t>
  </si>
  <si>
    <t xml:space="preserve">Stufenberechnung </t>
  </si>
  <si>
    <t>v</t>
  </si>
  <si>
    <t>Phase:</t>
  </si>
  <si>
    <t>Gesamtsumme:</t>
  </si>
  <si>
    <t>Berechnung vorläufig beauftragte Besondere  Leistungen GÜ-Berater</t>
  </si>
  <si>
    <t>Vergütungsvereinbarung zu Auftragsänderungen und -ergänzungen</t>
  </si>
  <si>
    <t>Honorarangebot zu weiteren besonderen Leistungen</t>
  </si>
  <si>
    <t xml:space="preserve">Einzelne weitere Leistungen und Auftragsänderungen </t>
  </si>
  <si>
    <t>Vergütungsvereinbarung zu weiteren besonderen Leistungen</t>
  </si>
  <si>
    <t>Weitere Leistungen/Auftragsänderungen</t>
  </si>
  <si>
    <t xml:space="preserve">Unternehmen: </t>
  </si>
  <si>
    <t xml:space="preserve">Vergabenummer: </t>
  </si>
  <si>
    <t xml:space="preserve">A. </t>
  </si>
  <si>
    <t>Überblick</t>
  </si>
  <si>
    <t>Gesamtsumme  Grundleistungen</t>
  </si>
  <si>
    <t>Gesamtsumme besondere Leistungen/netto:</t>
  </si>
  <si>
    <t xml:space="preserve">Gesamtsumme: </t>
  </si>
  <si>
    <t>Hochbauplanung</t>
  </si>
  <si>
    <t>Aufschlag/Abschlag:</t>
  </si>
  <si>
    <t>Höhe Grundleistungen inkl. Aufschlag:</t>
  </si>
  <si>
    <t>Besondere Leistungen:</t>
  </si>
  <si>
    <t>Abwasser-, Wasser-, Gasanlagen</t>
  </si>
  <si>
    <t xml:space="preserve">Wärmeversorgung </t>
  </si>
  <si>
    <t xml:space="preserve">Lufttechnische Anlagen </t>
  </si>
  <si>
    <t xml:space="preserve">Starkstromanlagen </t>
  </si>
  <si>
    <t>Fernemeldeanlagen</t>
  </si>
  <si>
    <t xml:space="preserve">Nutzerspezifische Anlagen </t>
  </si>
  <si>
    <t xml:space="preserve">Gebäudeautomation </t>
  </si>
  <si>
    <t>Bauphysik - Wärmeschutz</t>
  </si>
  <si>
    <t xml:space="preserve">Bauphysik - Raumakustik </t>
  </si>
  <si>
    <t xml:space="preserve">Tragwerksplanung </t>
  </si>
  <si>
    <t xml:space="preserve">Freianlagenplanung </t>
  </si>
  <si>
    <t xml:space="preserve">Bebauungsplan </t>
  </si>
  <si>
    <t xml:space="preserve">weitere Besondere Leistungen </t>
  </si>
  <si>
    <t xml:space="preserve">Auftragsänderungen und Ergänzungen </t>
  </si>
  <si>
    <t>Auftragsänderungen:</t>
  </si>
  <si>
    <t>Stufen 1</t>
  </si>
  <si>
    <t>Summen</t>
  </si>
  <si>
    <t>Breite Straße, 10178 Berlin-Mitte (Los 2)</t>
  </si>
  <si>
    <t>Breite Straße, 10178 Berlin-Mitte, Los 2, Flur 466 / Teile Flur 465</t>
  </si>
  <si>
    <t>Erstellen eines Terminplans mit den wesentlichen Vorgängen des Planungs- und Bauablaufs (siehe besondere Leistungen)</t>
  </si>
  <si>
    <t>Zuarbeit Terminplan für GP</t>
  </si>
  <si>
    <t>Fortschreiben des Terminplans (siehe besondere Leistungen)</t>
  </si>
  <si>
    <t>Fortschreibung Zuarbeit Terminplan für GP</t>
  </si>
  <si>
    <t>Zuarbeit zu Analyse Lebenszyklus</t>
  </si>
  <si>
    <t>Einreichen der Vorlagen (LP 4b: Einreichen durch GP)</t>
  </si>
  <si>
    <t>Erstellung und Mitwirkung bei der Erstellung der benötigten Unterlagen im Zusammenhang mit einer Nachhaltigkeitszertifizierung nach DGNB</t>
  </si>
  <si>
    <t>Hinweis: Es sind in den nachfolgenden Tabellenblättern noch nicht alle notwendigen Angaben gemacht worden</t>
  </si>
  <si>
    <t xml:space="preserve">Bitte machen Sie in den folgenden Tabellenblättern noch Angaben: </t>
  </si>
  <si>
    <t>Wir weisen daraufhin, dass das Leerlassen von orange markierten Feldern den Ausschluss des Angebotes zur Folge haben kann.</t>
  </si>
  <si>
    <t>Hochbauplanung, weitere besondere Leistungen</t>
  </si>
  <si>
    <t>Version: 24.07.2023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</si>
</sst>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0.00\ &quot;€&quot;"/>
    <numFmt numFmtId="44" formatCode="_-* #,##0.00\ &quot;€&quot;_-;\-* #,##0.00\ &quot;€&quot;_-;_-* &quot;-&quot;??\ &quot;€&quot;_-;_-@_-"/>
    <numFmt numFmtId="164" formatCode="_-* #,##0.00\ _€_-;\-* #,##0.00\ _€_-;_-* &quot;-&quot;??\ _€_-;_-@_-"/>
    <numFmt numFmtId="165" formatCode="#,##0.00\ &quot;€&quot;"/>
    <numFmt numFmtId="166" formatCode="0.0%"/>
    <numFmt numFmtId="167" formatCode="#,##0\ &quot;€&quot;"/>
    <numFmt numFmtId="168" formatCode="_-* #,##0\ &quot;€&quot;_-;\-* #,##0\ &quot;€&quot;_-;_-* &quot;-&quot;??\ &quot;€&quot;_-;_-@_-"/>
    <numFmt numFmtId="169" formatCode="&quot;HZ&quot;\ 0"/>
    <numFmt numFmtId="170" formatCode="#,##0.00\ _€"/>
    <numFmt numFmtId="171" formatCode="#,##0.0\ &quot;€&quot;"/>
  </numFmts>
  <fonts count="78" x14ac:knownFonts="1">
    <font>
      <sz val="11"/>
      <color theme="1"/>
      <name val="Calibri"/>
      <family val="2"/>
      <scheme val="minor"/>
    </font>
    <font>
      <sz val="11"/>
      <color theme="1"/>
      <name val="Tahoma"/>
      <family val="2"/>
    </font>
    <font>
      <sz val="11"/>
      <color theme="1"/>
      <name val="Tahoma"/>
      <family val="2"/>
    </font>
    <font>
      <sz val="10"/>
      <name val="Arial"/>
      <family val="2"/>
    </font>
    <font>
      <sz val="10"/>
      <name val="Arial"/>
      <family val="2"/>
    </font>
    <font>
      <b/>
      <sz val="11"/>
      <color theme="1"/>
      <name val="Calibri"/>
      <family val="2"/>
      <scheme val="minor"/>
    </font>
    <font>
      <sz val="11"/>
      <name val="Tahoma"/>
      <family val="2"/>
    </font>
    <font>
      <sz val="11"/>
      <color theme="1"/>
      <name val="Calibri"/>
      <family val="2"/>
      <scheme val="minor"/>
    </font>
    <font>
      <sz val="11"/>
      <color theme="1"/>
      <name val="Times New Roman"/>
      <family val="1"/>
    </font>
    <font>
      <b/>
      <sz val="11"/>
      <color theme="1"/>
      <name val="Tahoma"/>
      <family val="2"/>
    </font>
    <font>
      <sz val="11"/>
      <color theme="0"/>
      <name val="Calibri"/>
      <family val="2"/>
      <scheme val="minor"/>
    </font>
    <font>
      <b/>
      <sz val="11"/>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Tahoma"/>
      <family val="2"/>
    </font>
    <font>
      <b/>
      <sz val="11"/>
      <color theme="1"/>
      <name val="Arial"/>
      <family val="2"/>
    </font>
    <font>
      <sz val="11"/>
      <color theme="1"/>
      <name val="Arial"/>
      <family val="2"/>
    </font>
    <font>
      <sz val="11"/>
      <color theme="0"/>
      <name val="Arial"/>
      <family val="2"/>
    </font>
    <font>
      <sz val="11"/>
      <name val="Arial"/>
      <family val="2"/>
    </font>
    <font>
      <b/>
      <sz val="11"/>
      <color theme="0"/>
      <name val="Arial"/>
      <family val="2"/>
    </font>
    <font>
      <b/>
      <u/>
      <sz val="11"/>
      <name val="Arial"/>
      <family val="2"/>
    </font>
    <font>
      <sz val="8"/>
      <name val="Calibri"/>
      <family val="2"/>
      <scheme val="minor"/>
    </font>
    <font>
      <b/>
      <sz val="11"/>
      <name val="Arial"/>
      <family val="2"/>
    </font>
    <font>
      <b/>
      <u/>
      <sz val="11"/>
      <color theme="1"/>
      <name val="Arial"/>
      <family val="2"/>
    </font>
    <font>
      <sz val="11"/>
      <color rgb="FFFF0000"/>
      <name val="Arial"/>
      <family val="2"/>
    </font>
    <font>
      <sz val="11"/>
      <name val="Calibri"/>
      <family val="2"/>
      <scheme val="minor"/>
    </font>
    <font>
      <sz val="11"/>
      <name val="Times New Roman"/>
      <family val="1"/>
    </font>
    <font>
      <b/>
      <sz val="11"/>
      <color rgb="FFFF0000"/>
      <name val="Arial"/>
      <family val="2"/>
    </font>
    <font>
      <b/>
      <u/>
      <sz val="11"/>
      <color theme="1"/>
      <name val="Times New Roman"/>
      <family val="1"/>
    </font>
    <font>
      <b/>
      <u/>
      <sz val="11"/>
      <color theme="0"/>
      <name val="Arial"/>
      <family val="2"/>
    </font>
    <font>
      <b/>
      <u val="double"/>
      <sz val="11"/>
      <color theme="1"/>
      <name val="Times New Roman"/>
      <family val="1"/>
    </font>
    <font>
      <b/>
      <u/>
      <sz val="12"/>
      <color theme="1"/>
      <name val="Times New Roman"/>
      <family val="1"/>
    </font>
    <font>
      <sz val="9"/>
      <color theme="1"/>
      <name val="Arial"/>
      <family val="2"/>
    </font>
    <font>
      <sz val="11"/>
      <color rgb="FF000000"/>
      <name val="Arial"/>
      <family val="2"/>
    </font>
    <font>
      <sz val="8"/>
      <color theme="0"/>
      <name val="Arial"/>
      <family val="2"/>
    </font>
    <font>
      <b/>
      <sz val="11"/>
      <name val="Times New Roman"/>
      <family val="1"/>
    </font>
    <font>
      <b/>
      <u/>
      <sz val="11"/>
      <name val="Times New Roman"/>
      <family val="1"/>
    </font>
    <font>
      <sz val="12"/>
      <name val="Arial"/>
      <family val="2"/>
    </font>
    <font>
      <sz val="16"/>
      <name val="Arial"/>
      <family val="2"/>
    </font>
    <font>
      <sz val="10"/>
      <name val="Tahoma"/>
      <family val="2"/>
    </font>
    <font>
      <b/>
      <sz val="16"/>
      <name val="Tahoma"/>
      <family val="2"/>
    </font>
    <font>
      <sz val="8"/>
      <color theme="1"/>
      <name val="Arial"/>
      <family val="2"/>
    </font>
    <font>
      <sz val="7"/>
      <color theme="0"/>
      <name val="Arial"/>
      <family val="2"/>
    </font>
    <font>
      <sz val="8"/>
      <name val="Arial"/>
      <family val="2"/>
    </font>
    <font>
      <b/>
      <sz val="11"/>
      <name val="Tahoma"/>
      <family val="2"/>
    </font>
    <font>
      <sz val="11"/>
      <color rgb="FFFFFFFF"/>
      <name val="Arial"/>
      <family val="2"/>
    </font>
    <font>
      <sz val="10"/>
      <name val="Calibri"/>
      <family val="2"/>
      <scheme val="minor"/>
    </font>
    <font>
      <b/>
      <sz val="11"/>
      <name val="Calibri"/>
      <family val="2"/>
      <scheme val="minor"/>
    </font>
    <font>
      <b/>
      <sz val="14"/>
      <name val="Tahoma"/>
      <family val="2"/>
    </font>
    <font>
      <sz val="14"/>
      <name val="Tahoma"/>
      <family val="2"/>
    </font>
    <font>
      <sz val="14"/>
      <name val="Calibri"/>
      <family val="2"/>
      <scheme val="minor"/>
    </font>
    <font>
      <sz val="8"/>
      <name val="Tahoma"/>
      <family val="2"/>
    </font>
    <font>
      <b/>
      <sz val="10"/>
      <name val="Tahoma"/>
      <family val="2"/>
    </font>
    <font>
      <b/>
      <u/>
      <sz val="11"/>
      <name val="Calibri"/>
      <family val="2"/>
      <scheme val="minor"/>
    </font>
    <font>
      <b/>
      <sz val="16"/>
      <name val="Calibri"/>
      <family val="2"/>
      <scheme val="minor"/>
    </font>
    <font>
      <sz val="10"/>
      <name val="Times New Roman"/>
      <family val="1"/>
    </font>
    <font>
      <b/>
      <sz val="8"/>
      <name val="Times New Roman"/>
      <family val="1"/>
    </font>
    <font>
      <b/>
      <sz val="10"/>
      <name val="Times New Roman"/>
      <family val="1"/>
    </font>
    <font>
      <b/>
      <sz val="14"/>
      <color theme="1"/>
      <name val="Arial"/>
      <family val="2"/>
    </font>
    <font>
      <b/>
      <sz val="14"/>
      <color theme="9" tint="-0.249977111117893"/>
      <name val="Arial"/>
      <family val="2"/>
    </font>
    <font>
      <b/>
      <sz val="14"/>
      <name val="Arial"/>
      <family val="2"/>
    </font>
    <font>
      <b/>
      <u/>
      <sz val="11"/>
      <color rgb="FFFF0000"/>
      <name val="Arial"/>
      <family val="2"/>
    </font>
    <font>
      <i/>
      <sz val="11"/>
      <color theme="1"/>
      <name val="Arial"/>
      <family val="2"/>
    </font>
    <font>
      <sz val="8"/>
      <color rgb="FFFF0000"/>
      <name val="Arial"/>
      <family val="2"/>
    </font>
    <font>
      <sz val="16"/>
      <color rgb="FFFF0000"/>
      <name val="Arial"/>
      <family val="2"/>
    </font>
    <font>
      <sz val="7"/>
      <color rgb="FFFF0000"/>
      <name val="Arial"/>
      <family val="2"/>
    </font>
  </fonts>
  <fills count="4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rgb="FFDCE6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4F7FA"/>
        <bgColor indexed="64"/>
      </patternFill>
    </fill>
    <fill>
      <patternFill patternType="solid">
        <fgColor rgb="FFFFFF0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4.9989318521683403E-2"/>
        <bgColor indexed="64"/>
      </patternFill>
    </fill>
  </fills>
  <borders count="93">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auto="1"/>
      </left>
      <right/>
      <top style="medium">
        <color auto="1"/>
      </top>
      <bottom/>
      <diagonal/>
    </border>
    <border>
      <left style="medium">
        <color auto="1"/>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auto="1"/>
      </top>
      <bottom style="medium">
        <color auto="1"/>
      </bottom>
      <diagonal/>
    </border>
    <border>
      <left style="thin">
        <color auto="1"/>
      </left>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medium">
        <color auto="1"/>
      </left>
      <right style="medium">
        <color auto="1"/>
      </right>
      <top/>
      <bottom/>
      <diagonal/>
    </border>
    <border>
      <left style="medium">
        <color auto="1"/>
      </left>
      <right style="thin">
        <color auto="1"/>
      </right>
      <top/>
      <bottom/>
      <diagonal/>
    </border>
    <border>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right style="medium">
        <color auto="1"/>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style="medium">
        <color auto="1"/>
      </top>
      <bottom style="medium">
        <color indexed="64"/>
      </bottom>
      <diagonal/>
    </border>
    <border>
      <left/>
      <right/>
      <top style="medium">
        <color auto="1"/>
      </top>
      <bottom style="thin">
        <color indexed="64"/>
      </bottom>
      <diagonal/>
    </border>
    <border>
      <left/>
      <right style="medium">
        <color auto="1"/>
      </right>
      <top style="thin">
        <color indexed="64"/>
      </top>
      <bottom style="medium">
        <color indexed="64"/>
      </bottom>
      <diagonal/>
    </border>
    <border>
      <left/>
      <right style="medium">
        <color auto="1"/>
      </right>
      <top style="medium">
        <color auto="1"/>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top style="medium">
        <color auto="1"/>
      </top>
      <bottom style="medium">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indexed="64"/>
      </right>
      <top style="thin">
        <color auto="1"/>
      </top>
      <bottom style="medium">
        <color auto="1"/>
      </bottom>
      <diagonal/>
    </border>
    <border>
      <left/>
      <right style="thin">
        <color indexed="64"/>
      </right>
      <top/>
      <bottom style="thin">
        <color auto="1"/>
      </bottom>
      <diagonal/>
    </border>
    <border>
      <left/>
      <right style="thin">
        <color indexed="64"/>
      </right>
      <top style="thin">
        <color indexed="64"/>
      </top>
      <bottom/>
      <diagonal/>
    </border>
    <border>
      <left style="medium">
        <color indexed="64"/>
      </left>
      <right/>
      <top/>
      <bottom style="medium">
        <color auto="1"/>
      </bottom>
      <diagonal/>
    </border>
    <border>
      <left/>
      <right style="thin">
        <color indexed="64"/>
      </right>
      <top/>
      <bottom style="medium">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medium">
        <color auto="1"/>
      </left>
      <right style="medium">
        <color auto="1"/>
      </right>
      <top style="thin">
        <color auto="1"/>
      </top>
      <bottom/>
      <diagonal/>
    </border>
  </borders>
  <cellStyleXfs count="58">
    <xf numFmtId="0" fontId="0" fillId="0" borderId="0"/>
    <xf numFmtId="0" fontId="3" fillId="0" borderId="0"/>
    <xf numFmtId="0" fontId="4" fillId="0" borderId="0"/>
    <xf numFmtId="0" fontId="4" fillId="0" borderId="0"/>
    <xf numFmtId="0" fontId="6" fillId="0" borderId="0"/>
    <xf numFmtId="44" fontId="7" fillId="0" borderId="0" applyFont="0" applyFill="0" applyBorder="0" applyAlignment="0" applyProtection="0"/>
    <xf numFmtId="0" fontId="3" fillId="0" borderId="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xf numFmtId="0" fontId="1" fillId="0" borderId="0"/>
    <xf numFmtId="44" fontId="1" fillId="0" borderId="0" applyFont="0" applyFill="0" applyBorder="0" applyAlignment="0" applyProtection="0"/>
    <xf numFmtId="0" fontId="7" fillId="0" borderId="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20" applyNumberFormat="0" applyAlignment="0" applyProtection="0"/>
    <xf numFmtId="0" fontId="20" fillId="9" borderId="21" applyNumberFormat="0" applyAlignment="0" applyProtection="0"/>
    <xf numFmtId="0" fontId="21" fillId="9" borderId="20" applyNumberFormat="0" applyAlignment="0" applyProtection="0"/>
    <xf numFmtId="0" fontId="22" fillId="0" borderId="22" applyNumberFormat="0" applyFill="0" applyAlignment="0" applyProtection="0"/>
    <xf numFmtId="0" fontId="23" fillId="10" borderId="23" applyNumberFormat="0" applyAlignment="0" applyProtection="0"/>
    <xf numFmtId="0" fontId="24" fillId="0" borderId="0" applyNumberFormat="0" applyFill="0" applyBorder="0" applyAlignment="0" applyProtection="0"/>
    <xf numFmtId="0" fontId="7" fillId="11" borderId="24" applyNumberFormat="0" applyFont="0" applyAlignment="0" applyProtection="0"/>
    <xf numFmtId="0" fontId="25" fillId="0" borderId="0" applyNumberFormat="0" applyFill="0" applyBorder="0" applyAlignment="0" applyProtection="0"/>
    <xf numFmtId="0" fontId="5" fillId="0" borderId="25" applyNumberFormat="0" applyFill="0" applyAlignment="0" applyProtection="0"/>
    <xf numFmtId="0" fontId="10"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10" fillId="35" borderId="0" applyNumberFormat="0" applyBorder="0" applyAlignment="0" applyProtection="0"/>
    <xf numFmtId="0" fontId="3" fillId="0" borderId="0"/>
    <xf numFmtId="0" fontId="26" fillId="0" borderId="0" applyNumberFormat="0" applyFill="0" applyBorder="0" applyAlignment="0" applyProtection="0"/>
  </cellStyleXfs>
  <cellXfs count="1870">
    <xf numFmtId="0" fontId="0" fillId="0" borderId="0" xfId="0"/>
    <xf numFmtId="0" fontId="8" fillId="0" borderId="0" xfId="0" applyFont="1"/>
    <xf numFmtId="0" fontId="9" fillId="0" borderId="0" xfId="0" applyFont="1"/>
    <xf numFmtId="49" fontId="7" fillId="0" borderId="0" xfId="15" applyNumberFormat="1"/>
    <xf numFmtId="49" fontId="7" fillId="0" borderId="0" xfId="13" applyNumberFormat="1" applyFont="1"/>
    <xf numFmtId="0" fontId="7" fillId="0" borderId="0" xfId="13" applyFont="1" applyAlignment="1">
      <alignment wrapText="1"/>
    </xf>
    <xf numFmtId="49" fontId="7" fillId="0" borderId="0" xfId="15" applyNumberFormat="1" applyAlignment="1">
      <alignment wrapText="1"/>
    </xf>
    <xf numFmtId="49" fontId="27" fillId="0" borderId="0" xfId="0" applyNumberFormat="1" applyFont="1"/>
    <xf numFmtId="0" fontId="28" fillId="0" borderId="0" xfId="0" applyFont="1"/>
    <xf numFmtId="0" fontId="27" fillId="0" borderId="0" xfId="0" applyFont="1"/>
    <xf numFmtId="0" fontId="28" fillId="0" borderId="0" xfId="0" applyFont="1" applyAlignment="1">
      <alignment horizontal="right"/>
    </xf>
    <xf numFmtId="49" fontId="34" fillId="0" borderId="0" xfId="1" applyNumberFormat="1" applyFont="1"/>
    <xf numFmtId="49" fontId="30" fillId="0" borderId="0" xfId="1" applyNumberFormat="1" applyFont="1"/>
    <xf numFmtId="0" fontId="30" fillId="0" borderId="0" xfId="1" applyFont="1"/>
    <xf numFmtId="0" fontId="28" fillId="0" borderId="28" xfId="0" applyFont="1" applyBorder="1"/>
    <xf numFmtId="0" fontId="28" fillId="0" borderId="29" xfId="0" applyFont="1" applyBorder="1"/>
    <xf numFmtId="165" fontId="28" fillId="0" borderId="0" xfId="0" applyNumberFormat="1" applyFont="1"/>
    <xf numFmtId="0" fontId="28" fillId="0" borderId="29" xfId="0" applyFont="1" applyBorder="1" applyAlignment="1">
      <alignment horizontal="left"/>
    </xf>
    <xf numFmtId="0" fontId="28" fillId="0" borderId="29" xfId="0" applyFont="1" applyBorder="1" applyAlignment="1">
      <alignment wrapText="1"/>
    </xf>
    <xf numFmtId="165" fontId="28" fillId="0" borderId="29" xfId="0" applyNumberFormat="1" applyFont="1" applyBorder="1" applyAlignment="1">
      <alignment horizontal="right"/>
    </xf>
    <xf numFmtId="165" fontId="28" fillId="0" borderId="40" xfId="0" applyNumberFormat="1" applyFont="1" applyBorder="1" applyAlignment="1">
      <alignment horizontal="right"/>
    </xf>
    <xf numFmtId="165" fontId="28" fillId="0" borderId="28" xfId="0" applyNumberFormat="1" applyFont="1" applyBorder="1" applyAlignment="1">
      <alignment horizontal="right"/>
    </xf>
    <xf numFmtId="165" fontId="28" fillId="0" borderId="0" xfId="0" applyNumberFormat="1" applyFont="1" applyAlignment="1">
      <alignment horizontal="right"/>
    </xf>
    <xf numFmtId="165" fontId="27" fillId="0" borderId="87" xfId="0" applyNumberFormat="1" applyFont="1" applyBorder="1" applyAlignment="1">
      <alignment horizontal="right"/>
    </xf>
    <xf numFmtId="0" fontId="28" fillId="0" borderId="0" xfId="0" applyFont="1" applyAlignment="1">
      <alignment horizontal="left"/>
    </xf>
    <xf numFmtId="0" fontId="28" fillId="0" borderId="0" xfId="0" applyFont="1" applyAlignment="1">
      <alignment horizontal="center"/>
    </xf>
    <xf numFmtId="165" fontId="27" fillId="0" borderId="0" xfId="0" applyNumberFormat="1" applyFont="1" applyAlignment="1">
      <alignment horizontal="right"/>
    </xf>
    <xf numFmtId="0" fontId="27" fillId="0" borderId="0" xfId="0" applyFont="1" applyAlignment="1">
      <alignment horizontal="right"/>
    </xf>
    <xf numFmtId="0" fontId="27" fillId="0" borderId="0" xfId="0" applyFont="1" applyAlignment="1">
      <alignment horizontal="left"/>
    </xf>
    <xf numFmtId="165" fontId="30" fillId="0" borderId="0" xfId="1" applyNumberFormat="1" applyFont="1"/>
    <xf numFmtId="9" fontId="34" fillId="0" borderId="0" xfId="1" applyNumberFormat="1" applyFont="1"/>
    <xf numFmtId="9" fontId="30" fillId="0" borderId="0" xfId="1" applyNumberFormat="1" applyFont="1" applyAlignment="1">
      <alignment horizontal="right"/>
    </xf>
    <xf numFmtId="9" fontId="28" fillId="0" borderId="0" xfId="0" applyNumberFormat="1" applyFont="1" applyAlignment="1">
      <alignment horizontal="center"/>
    </xf>
    <xf numFmtId="166" fontId="28" fillId="0" borderId="0" xfId="0" applyNumberFormat="1" applyFont="1" applyAlignment="1">
      <alignment horizontal="right"/>
    </xf>
    <xf numFmtId="166" fontId="36" fillId="0" borderId="0" xfId="0" applyNumberFormat="1" applyFont="1" applyAlignment="1">
      <alignment horizontal="right"/>
    </xf>
    <xf numFmtId="0" fontId="30" fillId="0" borderId="0" xfId="0" applyFont="1"/>
    <xf numFmtId="0" fontId="27" fillId="0" borderId="41" xfId="0" applyFont="1" applyBorder="1"/>
    <xf numFmtId="0" fontId="28" fillId="0" borderId="0" xfId="0" applyFont="1" applyAlignment="1">
      <alignment wrapText="1"/>
    </xf>
    <xf numFmtId="0" fontId="29" fillId="0" borderId="0" xfId="0" applyFont="1"/>
    <xf numFmtId="49" fontId="29" fillId="0" borderId="0" xfId="0" applyNumberFormat="1" applyFont="1" applyAlignment="1">
      <alignment wrapText="1"/>
    </xf>
    <xf numFmtId="10" fontId="29" fillId="0" borderId="0" xfId="0" applyNumberFormat="1" applyFont="1" applyAlignment="1">
      <alignment vertical="center"/>
    </xf>
    <xf numFmtId="10" fontId="31" fillId="0" borderId="0" xfId="0" applyNumberFormat="1" applyFont="1" applyAlignment="1">
      <alignment vertical="center"/>
    </xf>
    <xf numFmtId="10" fontId="29" fillId="0" borderId="0" xfId="0" applyNumberFormat="1" applyFont="1" applyAlignment="1">
      <alignment horizontal="center" vertical="center"/>
    </xf>
    <xf numFmtId="10" fontId="29" fillId="0" borderId="0" xfId="0" applyNumberFormat="1" applyFont="1"/>
    <xf numFmtId="0" fontId="29" fillId="0" borderId="0" xfId="0" applyFont="1" applyAlignment="1">
      <alignment vertical="center"/>
    </xf>
    <xf numFmtId="165" fontId="28" fillId="0" borderId="0" xfId="0" applyNumberFormat="1" applyFont="1" applyAlignment="1">
      <alignment wrapText="1"/>
    </xf>
    <xf numFmtId="10" fontId="28" fillId="0" borderId="0" xfId="0" applyNumberFormat="1" applyFont="1" applyAlignment="1">
      <alignment wrapText="1"/>
    </xf>
    <xf numFmtId="0" fontId="31" fillId="0" borderId="0" xfId="0" applyFont="1" applyAlignment="1">
      <alignment wrapText="1"/>
    </xf>
    <xf numFmtId="165" fontId="8" fillId="0" borderId="0" xfId="0" applyNumberFormat="1" applyFont="1"/>
    <xf numFmtId="165" fontId="11" fillId="0" borderId="0" xfId="0" applyNumberFormat="1" applyFont="1"/>
    <xf numFmtId="0" fontId="31" fillId="0" borderId="0" xfId="0" applyFont="1" applyAlignment="1">
      <alignment horizontal="center" vertical="center" wrapText="1"/>
    </xf>
    <xf numFmtId="0" fontId="28" fillId="0" borderId="31" xfId="0" applyFont="1" applyBorder="1"/>
    <xf numFmtId="0" fontId="28" fillId="0" borderId="41" xfId="0" applyFont="1" applyBorder="1"/>
    <xf numFmtId="0" fontId="28" fillId="0" borderId="31" xfId="0" applyFont="1" applyBorder="1" applyAlignment="1">
      <alignment horizontal="right" vertical="top" wrapText="1"/>
    </xf>
    <xf numFmtId="0" fontId="28" fillId="0" borderId="0" xfId="0" applyFont="1" applyAlignment="1">
      <alignment horizontal="right" vertical="top" wrapText="1"/>
    </xf>
    <xf numFmtId="0" fontId="28" fillId="0" borderId="41" xfId="0" applyFont="1" applyBorder="1" applyAlignment="1">
      <alignment horizontal="right" vertical="top" wrapText="1"/>
    </xf>
    <xf numFmtId="165" fontId="27" fillId="0" borderId="29" xfId="0" applyNumberFormat="1" applyFont="1" applyBorder="1" applyAlignment="1">
      <alignment horizontal="center"/>
    </xf>
    <xf numFmtId="165" fontId="27" fillId="0" borderId="40" xfId="0" applyNumberFormat="1" applyFont="1" applyBorder="1" applyAlignment="1">
      <alignment horizontal="center"/>
    </xf>
    <xf numFmtId="165" fontId="29" fillId="0" borderId="0" xfId="0" applyNumberFormat="1" applyFont="1"/>
    <xf numFmtId="165" fontId="35" fillId="3" borderId="28" xfId="0" applyNumberFormat="1" applyFont="1" applyFill="1" applyBorder="1" applyAlignment="1">
      <alignment vertical="center"/>
    </xf>
    <xf numFmtId="165" fontId="35" fillId="3" borderId="87" xfId="0" applyNumberFormat="1" applyFont="1" applyFill="1" applyBorder="1" applyAlignment="1">
      <alignment vertical="center"/>
    </xf>
    <xf numFmtId="166" fontId="28" fillId="0" borderId="28" xfId="0" applyNumberFormat="1" applyFont="1" applyBorder="1"/>
    <xf numFmtId="10" fontId="28" fillId="0" borderId="31" xfId="0" applyNumberFormat="1" applyFont="1" applyBorder="1"/>
    <xf numFmtId="166" fontId="28" fillId="0" borderId="31" xfId="0" applyNumberFormat="1" applyFont="1" applyBorder="1"/>
    <xf numFmtId="10" fontId="28" fillId="0" borderId="87" xfId="0" applyNumberFormat="1" applyFont="1" applyBorder="1"/>
    <xf numFmtId="0" fontId="28" fillId="0" borderId="28" xfId="0" applyFont="1" applyBorder="1" applyAlignment="1">
      <alignment horizontal="right" vertical="top" wrapText="1"/>
    </xf>
    <xf numFmtId="0" fontId="28" fillId="0" borderId="29" xfId="0" applyFont="1" applyBorder="1" applyAlignment="1">
      <alignment horizontal="right" vertical="top" wrapText="1"/>
    </xf>
    <xf numFmtId="0" fontId="28" fillId="0" borderId="40" xfId="0" applyFont="1" applyBorder="1"/>
    <xf numFmtId="166" fontId="28" fillId="0" borderId="87" xfId="0" applyNumberFormat="1" applyFont="1" applyBorder="1"/>
    <xf numFmtId="0" fontId="28" fillId="0" borderId="79" xfId="0" applyFont="1" applyBorder="1"/>
    <xf numFmtId="0" fontId="11" fillId="0" borderId="0" xfId="0" applyFont="1" applyAlignment="1">
      <alignment wrapText="1"/>
    </xf>
    <xf numFmtId="165" fontId="30" fillId="0" borderId="31" xfId="0" applyNumberFormat="1" applyFont="1" applyBorder="1" applyAlignment="1">
      <alignment horizontal="right"/>
    </xf>
    <xf numFmtId="0" fontId="30" fillId="0" borderId="31" xfId="0" applyFont="1" applyBorder="1"/>
    <xf numFmtId="0" fontId="38" fillId="0" borderId="0" xfId="0" applyFont="1"/>
    <xf numFmtId="0" fontId="37" fillId="0" borderId="0" xfId="0" applyFont="1" applyAlignment="1">
      <alignment vertical="center"/>
    </xf>
    <xf numFmtId="0" fontId="28" fillId="0" borderId="0" xfId="0" applyFont="1" applyAlignment="1">
      <alignment vertical="center" wrapText="1"/>
    </xf>
    <xf numFmtId="0" fontId="28" fillId="0" borderId="26" xfId="0" applyFont="1" applyBorder="1" applyAlignment="1">
      <alignment vertical="center" wrapText="1"/>
    </xf>
    <xf numFmtId="0" fontId="28" fillId="0" borderId="26" xfId="0" applyFont="1" applyBorder="1" applyAlignment="1">
      <alignment wrapText="1"/>
    </xf>
    <xf numFmtId="49" fontId="30" fillId="0" borderId="0" xfId="0" applyNumberFormat="1" applyFont="1" applyAlignment="1">
      <alignment wrapText="1"/>
    </xf>
    <xf numFmtId="0" fontId="34" fillId="0" borderId="0" xfId="0" applyFont="1" applyAlignment="1">
      <alignment wrapText="1"/>
    </xf>
    <xf numFmtId="0" fontId="34" fillId="0" borderId="0" xfId="0" applyFont="1" applyAlignment="1">
      <alignment vertical="center"/>
    </xf>
    <xf numFmtId="49" fontId="29" fillId="0" borderId="0" xfId="0" applyNumberFormat="1" applyFont="1" applyAlignment="1">
      <alignment horizontal="left" vertical="top" wrapText="1"/>
    </xf>
    <xf numFmtId="0" fontId="39" fillId="0" borderId="0" xfId="0" applyFont="1"/>
    <xf numFmtId="0" fontId="36" fillId="0" borderId="0" xfId="0" applyFont="1"/>
    <xf numFmtId="0" fontId="27" fillId="0" borderId="0" xfId="0" applyFont="1" applyAlignment="1">
      <alignment horizontal="right" vertical="center" wrapText="1"/>
    </xf>
    <xf numFmtId="10" fontId="27" fillId="0" borderId="0" xfId="0" applyNumberFormat="1" applyFont="1" applyAlignment="1">
      <alignment horizontal="center" vertical="center" wrapText="1"/>
    </xf>
    <xf numFmtId="165" fontId="27" fillId="0" borderId="0" xfId="0" applyNumberFormat="1" applyFont="1" applyAlignment="1">
      <alignment horizontal="center" vertical="center" wrapText="1"/>
    </xf>
    <xf numFmtId="165" fontId="27" fillId="0" borderId="0" xfId="0" applyNumberFormat="1" applyFont="1" applyAlignment="1">
      <alignment vertical="center" wrapText="1"/>
    </xf>
    <xf numFmtId="0" fontId="28" fillId="0" borderId="0" xfId="0" applyFont="1" applyAlignment="1">
      <alignment horizontal="center" vertical="center"/>
    </xf>
    <xf numFmtId="49" fontId="28" fillId="0" borderId="31" xfId="0" applyNumberFormat="1" applyFont="1" applyBorder="1" applyAlignment="1">
      <alignment vertical="center"/>
    </xf>
    <xf numFmtId="10" fontId="28" fillId="0" borderId="31" xfId="0" applyNumberFormat="1" applyFont="1" applyBorder="1" applyAlignment="1">
      <alignment vertical="center"/>
    </xf>
    <xf numFmtId="10" fontId="28" fillId="0" borderId="87" xfId="0" applyNumberFormat="1" applyFont="1" applyBorder="1" applyAlignment="1">
      <alignment vertical="center"/>
    </xf>
    <xf numFmtId="0" fontId="30" fillId="0" borderId="29" xfId="0" applyFont="1" applyBorder="1"/>
    <xf numFmtId="165" fontId="28" fillId="0" borderId="29" xfId="0" applyNumberFormat="1" applyFont="1" applyBorder="1"/>
    <xf numFmtId="165" fontId="30" fillId="0" borderId="31" xfId="0" applyNumberFormat="1" applyFont="1" applyBorder="1"/>
    <xf numFmtId="0" fontId="31" fillId="0" borderId="0" xfId="0" applyFont="1" applyAlignment="1">
      <alignment vertical="center"/>
    </xf>
    <xf numFmtId="0" fontId="31" fillId="0" borderId="0" xfId="0" applyFont="1" applyAlignment="1">
      <alignment horizontal="center" vertical="center"/>
    </xf>
    <xf numFmtId="0" fontId="31" fillId="0" borderId="0" xfId="0" applyFont="1"/>
    <xf numFmtId="10" fontId="31" fillId="0" borderId="0" xfId="0" applyNumberFormat="1" applyFont="1"/>
    <xf numFmtId="0" fontId="29" fillId="0" borderId="0" xfId="0" applyFont="1" applyAlignment="1">
      <alignment horizontal="center" vertical="center"/>
    </xf>
    <xf numFmtId="0" fontId="11" fillId="0" borderId="30" xfId="0" applyFont="1" applyBorder="1" applyAlignment="1">
      <alignment horizontal="center" vertical="center"/>
    </xf>
    <xf numFmtId="10" fontId="28" fillId="38" borderId="31" xfId="0" applyNumberFormat="1" applyFont="1" applyFill="1" applyBorder="1"/>
    <xf numFmtId="0" fontId="27" fillId="0" borderId="0" xfId="0" applyFont="1" applyAlignment="1">
      <alignment vertical="center"/>
    </xf>
    <xf numFmtId="0" fontId="28" fillId="3" borderId="28" xfId="0" applyFont="1" applyFill="1" applyBorder="1"/>
    <xf numFmtId="0" fontId="29" fillId="0" borderId="0" xfId="0" applyFont="1" applyAlignment="1">
      <alignment horizontal="right" vertical="center"/>
    </xf>
    <xf numFmtId="0" fontId="28" fillId="0" borderId="28" xfId="0" applyFont="1" applyBorder="1" applyAlignment="1">
      <alignment wrapText="1"/>
    </xf>
    <xf numFmtId="10" fontId="28" fillId="0" borderId="0" xfId="0" applyNumberFormat="1" applyFont="1" applyAlignment="1">
      <alignment vertical="center"/>
    </xf>
    <xf numFmtId="10" fontId="28" fillId="0" borderId="26" xfId="0" applyNumberFormat="1" applyFont="1" applyBorder="1" applyAlignment="1">
      <alignment vertical="center"/>
    </xf>
    <xf numFmtId="165" fontId="29" fillId="0" borderId="0" xfId="1" applyNumberFormat="1" applyFont="1" applyAlignment="1">
      <alignment vertical="center"/>
    </xf>
    <xf numFmtId="9" fontId="29" fillId="0" borderId="0" xfId="1" applyNumberFormat="1" applyFont="1" applyAlignment="1">
      <alignment horizontal="right"/>
    </xf>
    <xf numFmtId="9" fontId="29" fillId="0" borderId="0" xfId="1" applyNumberFormat="1" applyFont="1"/>
    <xf numFmtId="0" fontId="30" fillId="0" borderId="0" xfId="1" applyFont="1" applyAlignment="1">
      <alignment horizontal="right"/>
    </xf>
    <xf numFmtId="49" fontId="29" fillId="0" borderId="0" xfId="0" applyNumberFormat="1" applyFont="1" applyAlignment="1">
      <alignment vertical="center" wrapText="1"/>
    </xf>
    <xf numFmtId="49" fontId="41" fillId="0" borderId="0" xfId="1" applyNumberFormat="1" applyFont="1"/>
    <xf numFmtId="0" fontId="34" fillId="0" borderId="0" xfId="1" applyFont="1"/>
    <xf numFmtId="0" fontId="35" fillId="0" borderId="0" xfId="0" applyFont="1"/>
    <xf numFmtId="0" fontId="32" fillId="0" borderId="0" xfId="1" applyFont="1"/>
    <xf numFmtId="0" fontId="29" fillId="0" borderId="0" xfId="1" applyFont="1" applyAlignment="1">
      <alignment vertical="center"/>
    </xf>
    <xf numFmtId="0" fontId="27" fillId="0" borderId="41" xfId="0" applyFont="1" applyBorder="1" applyAlignment="1">
      <alignment horizontal="right" vertical="center"/>
    </xf>
    <xf numFmtId="10" fontId="34" fillId="0" borderId="0" xfId="0" applyNumberFormat="1" applyFont="1" applyAlignment="1">
      <alignment vertical="center"/>
    </xf>
    <xf numFmtId="10" fontId="30" fillId="0" borderId="0" xfId="0" applyNumberFormat="1" applyFont="1"/>
    <xf numFmtId="0" fontId="34" fillId="0" borderId="0" xfId="0" applyFont="1" applyAlignment="1">
      <alignment horizontal="center" vertical="center"/>
    </xf>
    <xf numFmtId="10" fontId="30" fillId="0" borderId="0" xfId="0" applyNumberFormat="1" applyFont="1" applyAlignment="1">
      <alignment wrapText="1"/>
    </xf>
    <xf numFmtId="49" fontId="30" fillId="0" borderId="0" xfId="0" applyNumberFormat="1" applyFont="1" applyAlignment="1">
      <alignment vertical="center" wrapText="1"/>
    </xf>
    <xf numFmtId="165" fontId="28" fillId="0" borderId="0" xfId="0" applyNumberFormat="1" applyFont="1" applyAlignment="1" applyProtection="1">
      <alignment vertical="center"/>
      <protection locked="0"/>
    </xf>
    <xf numFmtId="0" fontId="28" fillId="0" borderId="40" xfId="0" applyFont="1" applyBorder="1" applyAlignment="1">
      <alignment horizontal="right" vertical="top" wrapText="1"/>
    </xf>
    <xf numFmtId="0" fontId="28" fillId="0" borderId="26" xfId="0" applyFont="1" applyBorder="1"/>
    <xf numFmtId="0" fontId="28" fillId="0" borderId="44" xfId="0" applyFont="1" applyBorder="1"/>
    <xf numFmtId="166" fontId="27" fillId="0" borderId="0" xfId="0" applyNumberFormat="1" applyFont="1" applyAlignment="1">
      <alignment horizontal="center"/>
    </xf>
    <xf numFmtId="166" fontId="34" fillId="0" borderId="0" xfId="0" applyNumberFormat="1" applyFont="1" applyAlignment="1">
      <alignment horizontal="center"/>
    </xf>
    <xf numFmtId="10" fontId="29" fillId="0" borderId="0" xfId="0" applyNumberFormat="1" applyFont="1" applyAlignment="1">
      <alignment wrapText="1"/>
    </xf>
    <xf numFmtId="0" fontId="28" fillId="0" borderId="10" xfId="0" applyFont="1" applyBorder="1" applyAlignment="1">
      <alignment wrapText="1"/>
    </xf>
    <xf numFmtId="165" fontId="29" fillId="0" borderId="10" xfId="0" applyNumberFormat="1" applyFont="1" applyBorder="1"/>
    <xf numFmtId="10" fontId="28" fillId="0" borderId="10" xfId="0" applyNumberFormat="1" applyFont="1" applyBorder="1"/>
    <xf numFmtId="0" fontId="28" fillId="0" borderId="0" xfId="0" applyFont="1" applyAlignment="1">
      <alignment vertical="center"/>
    </xf>
    <xf numFmtId="0" fontId="28" fillId="0" borderId="0" xfId="0" applyFont="1" applyAlignment="1">
      <alignment vertical="top" wrapText="1"/>
    </xf>
    <xf numFmtId="49" fontId="28" fillId="0" borderId="0" xfId="0" applyNumberFormat="1" applyFont="1" applyAlignment="1">
      <alignment vertical="top" wrapText="1"/>
    </xf>
    <xf numFmtId="9" fontId="28" fillId="0" borderId="0" xfId="0" applyNumberFormat="1" applyFont="1" applyAlignment="1">
      <alignment vertical="center"/>
    </xf>
    <xf numFmtId="49" fontId="28" fillId="0" borderId="0" xfId="0" applyNumberFormat="1" applyFont="1" applyAlignment="1">
      <alignment vertical="center" wrapText="1"/>
    </xf>
    <xf numFmtId="49" fontId="28" fillId="0" borderId="0" xfId="0" applyNumberFormat="1" applyFont="1" applyAlignment="1">
      <alignment horizontal="center" vertical="top" wrapText="1"/>
    </xf>
    <xf numFmtId="9" fontId="28" fillId="0" borderId="0" xfId="0" applyNumberFormat="1" applyFont="1" applyAlignment="1">
      <alignment horizontal="center" vertical="center"/>
    </xf>
    <xf numFmtId="49" fontId="34" fillId="0" borderId="0" xfId="0" applyNumberFormat="1" applyFont="1" applyAlignment="1">
      <alignment textRotation="90"/>
    </xf>
    <xf numFmtId="49" fontId="27" fillId="0" borderId="0" xfId="0" applyNumberFormat="1" applyFont="1" applyAlignment="1">
      <alignment vertical="center"/>
    </xf>
    <xf numFmtId="0" fontId="28" fillId="0" borderId="0" xfId="0" applyFont="1" applyAlignment="1">
      <alignment horizontal="left" vertical="top" wrapText="1"/>
    </xf>
    <xf numFmtId="0" fontId="11" fillId="0" borderId="0" xfId="0" applyFont="1"/>
    <xf numFmtId="165" fontId="8" fillId="0" borderId="0" xfId="0" applyNumberFormat="1" applyFont="1" applyAlignment="1">
      <alignment horizontal="right"/>
    </xf>
    <xf numFmtId="1" fontId="8" fillId="0" borderId="0" xfId="0" applyNumberFormat="1" applyFont="1"/>
    <xf numFmtId="165" fontId="40" fillId="0" borderId="0" xfId="0" applyNumberFormat="1" applyFont="1"/>
    <xf numFmtId="1" fontId="8" fillId="0" borderId="54"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16" xfId="0" applyNumberFormat="1" applyFont="1" applyBorder="1" applyAlignment="1">
      <alignment horizontal="center" vertical="center"/>
    </xf>
    <xf numFmtId="165" fontId="8" fillId="0" borderId="80" xfId="0" applyNumberFormat="1" applyFont="1" applyBorder="1" applyAlignment="1">
      <alignment horizontal="center"/>
    </xf>
    <xf numFmtId="165" fontId="8" fillId="0" borderId="67" xfId="0" applyNumberFormat="1" applyFont="1" applyBorder="1" applyAlignment="1">
      <alignment horizontal="center"/>
    </xf>
    <xf numFmtId="165" fontId="8" fillId="0" borderId="12" xfId="0" applyNumberFormat="1" applyFont="1" applyBorder="1" applyAlignment="1">
      <alignment horizontal="center"/>
    </xf>
    <xf numFmtId="165" fontId="8" fillId="0" borderId="81" xfId="0" applyNumberFormat="1" applyFont="1" applyBorder="1" applyAlignment="1">
      <alignment horizontal="center"/>
    </xf>
    <xf numFmtId="165" fontId="8" fillId="0" borderId="82" xfId="0" applyNumberFormat="1" applyFont="1" applyBorder="1" applyAlignment="1">
      <alignment horizontal="center"/>
    </xf>
    <xf numFmtId="165" fontId="8" fillId="0" borderId="1" xfId="0" applyNumberFormat="1" applyFont="1" applyBorder="1" applyAlignment="1">
      <alignment horizontal="center"/>
    </xf>
    <xf numFmtId="165" fontId="8" fillId="0" borderId="76" xfId="0" applyNumberFormat="1" applyFont="1" applyBorder="1" applyAlignment="1">
      <alignment horizontal="center"/>
    </xf>
    <xf numFmtId="165" fontId="8" fillId="0" borderId="84" xfId="0" applyNumberFormat="1" applyFont="1" applyBorder="1" applyAlignment="1">
      <alignment horizontal="center"/>
    </xf>
    <xf numFmtId="165" fontId="8" fillId="0" borderId="2" xfId="0" applyNumberFormat="1" applyFont="1" applyBorder="1" applyAlignment="1">
      <alignment horizontal="center"/>
    </xf>
    <xf numFmtId="165" fontId="40" fillId="0" borderId="57" xfId="0" applyNumberFormat="1" applyFont="1" applyBorder="1" applyAlignment="1">
      <alignment horizontal="center"/>
    </xf>
    <xf numFmtId="0" fontId="8" fillId="0" borderId="72" xfId="0" applyFont="1" applyBorder="1" applyAlignment="1">
      <alignment horizontal="center" vertical="center"/>
    </xf>
    <xf numFmtId="0" fontId="8" fillId="0" borderId="74" xfId="0" applyFont="1" applyBorder="1" applyAlignment="1">
      <alignment horizontal="center" vertical="center"/>
    </xf>
    <xf numFmtId="0" fontId="8" fillId="0" borderId="74" xfId="0" applyFont="1" applyBorder="1"/>
    <xf numFmtId="0" fontId="8" fillId="0" borderId="92" xfId="0" applyFont="1" applyBorder="1"/>
    <xf numFmtId="0" fontId="8" fillId="0" borderId="30" xfId="0" applyFont="1" applyBorder="1"/>
    <xf numFmtId="165" fontId="8" fillId="0" borderId="0" xfId="0" applyNumberFormat="1" applyFont="1" applyAlignment="1">
      <alignment horizontal="center"/>
    </xf>
    <xf numFmtId="0" fontId="27" fillId="0" borderId="41" xfId="0" applyFont="1" applyBorder="1" applyAlignment="1">
      <alignment horizontal="center" vertical="center"/>
    </xf>
    <xf numFmtId="0" fontId="27" fillId="0" borderId="0" xfId="0" applyFont="1" applyAlignment="1">
      <alignment horizontal="center"/>
    </xf>
    <xf numFmtId="9" fontId="27" fillId="0" borderId="0" xfId="0" applyNumberFormat="1" applyFont="1" applyAlignment="1">
      <alignment horizontal="center"/>
    </xf>
    <xf numFmtId="0" fontId="8" fillId="0" borderId="0" xfId="0" applyFont="1" applyAlignment="1">
      <alignment horizontal="center" vertical="center"/>
    </xf>
    <xf numFmtId="165" fontId="8" fillId="0" borderId="0" xfId="0" applyNumberFormat="1" applyFont="1" applyAlignment="1">
      <alignment horizontal="center" vertical="center"/>
    </xf>
    <xf numFmtId="165" fontId="8" fillId="0" borderId="29" xfId="0" applyNumberFormat="1" applyFont="1" applyBorder="1"/>
    <xf numFmtId="165" fontId="8" fillId="0" borderId="26" xfId="0" applyNumberFormat="1" applyFont="1" applyBorder="1"/>
    <xf numFmtId="165" fontId="8" fillId="0" borderId="26" xfId="0" applyNumberFormat="1" applyFont="1" applyBorder="1" applyAlignment="1">
      <alignment horizontal="center"/>
    </xf>
    <xf numFmtId="165" fontId="40" fillId="0" borderId="0" xfId="0" applyNumberFormat="1" applyFont="1" applyAlignment="1">
      <alignment horizontal="center"/>
    </xf>
    <xf numFmtId="0" fontId="27" fillId="0" borderId="31" xfId="0" applyFont="1" applyBorder="1" applyAlignment="1">
      <alignment wrapText="1"/>
    </xf>
    <xf numFmtId="0" fontId="27" fillId="0" borderId="0" xfId="0" applyFont="1" applyAlignment="1">
      <alignment wrapText="1"/>
    </xf>
    <xf numFmtId="0" fontId="27" fillId="3" borderId="28" xfId="0" applyFont="1" applyFill="1" applyBorder="1" applyAlignment="1">
      <alignment vertical="center" wrapText="1"/>
    </xf>
    <xf numFmtId="0" fontId="27" fillId="3" borderId="29" xfId="0" applyFont="1" applyFill="1" applyBorder="1" applyAlignment="1">
      <alignment vertical="center" wrapText="1"/>
    </xf>
    <xf numFmtId="0" fontId="28" fillId="0" borderId="43" xfId="0" applyFont="1" applyBorder="1" applyAlignment="1">
      <alignment horizontal="right" vertical="top" wrapText="1"/>
    </xf>
    <xf numFmtId="0" fontId="28" fillId="0" borderId="48" xfId="0" applyFont="1" applyBorder="1" applyAlignment="1">
      <alignment horizontal="right"/>
    </xf>
    <xf numFmtId="0" fontId="28" fillId="0" borderId="51" xfId="0" applyFont="1" applyBorder="1" applyAlignment="1">
      <alignment horizontal="right" vertical="top" wrapText="1"/>
    </xf>
    <xf numFmtId="0" fontId="27" fillId="0" borderId="43" xfId="0" applyFont="1" applyBorder="1" applyAlignment="1">
      <alignment horizontal="right" wrapText="1"/>
    </xf>
    <xf numFmtId="10" fontId="28" fillId="0" borderId="48" xfId="0" applyNumberFormat="1" applyFont="1" applyBorder="1"/>
    <xf numFmtId="0" fontId="27" fillId="0" borderId="48" xfId="0" applyFont="1" applyBorder="1" applyAlignment="1">
      <alignment horizontal="right" wrapText="1"/>
    </xf>
    <xf numFmtId="0" fontId="27" fillId="3" borderId="43" xfId="0" applyFont="1" applyFill="1" applyBorder="1" applyAlignment="1">
      <alignment vertical="center" wrapText="1"/>
    </xf>
    <xf numFmtId="0" fontId="27" fillId="3" borderId="51" xfId="0" applyFont="1" applyFill="1" applyBorder="1" applyAlignment="1">
      <alignment vertical="center" wrapText="1"/>
    </xf>
    <xf numFmtId="10" fontId="28" fillId="0" borderId="26" xfId="0" applyNumberFormat="1" applyFont="1" applyBorder="1"/>
    <xf numFmtId="165" fontId="27" fillId="0" borderId="0" xfId="0" applyNumberFormat="1" applyFont="1"/>
    <xf numFmtId="165" fontId="35" fillId="0" borderId="0" xfId="0" applyNumberFormat="1" applyFont="1" applyAlignment="1">
      <alignment vertical="center"/>
    </xf>
    <xf numFmtId="165" fontId="28" fillId="0" borderId="31" xfId="0" applyNumberFormat="1" applyFont="1" applyBorder="1"/>
    <xf numFmtId="165" fontId="35" fillId="0" borderId="0" xfId="0" applyNumberFormat="1" applyFont="1" applyAlignment="1">
      <alignment vertical="center" wrapText="1"/>
    </xf>
    <xf numFmtId="165" fontId="35" fillId="3" borderId="40" xfId="0" applyNumberFormat="1" applyFont="1" applyFill="1" applyBorder="1" applyAlignment="1">
      <alignment vertical="center" wrapText="1"/>
    </xf>
    <xf numFmtId="165" fontId="27" fillId="0" borderId="40" xfId="0" applyNumberFormat="1" applyFont="1" applyBorder="1"/>
    <xf numFmtId="0" fontId="28" fillId="0" borderId="48" xfId="0" applyFont="1" applyBorder="1" applyAlignment="1">
      <alignment horizontal="right" vertical="top" wrapText="1"/>
    </xf>
    <xf numFmtId="0" fontId="28" fillId="0" borderId="51" xfId="0" applyFont="1" applyBorder="1" applyAlignment="1">
      <alignment horizontal="right"/>
    </xf>
    <xf numFmtId="10" fontId="27" fillId="0" borderId="48" xfId="0" applyNumberFormat="1" applyFont="1" applyBorder="1" applyAlignment="1">
      <alignment horizontal="right" wrapText="1"/>
    </xf>
    <xf numFmtId="0" fontId="27" fillId="3" borderId="43"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11" fillId="0" borderId="0" xfId="0" applyFont="1" applyAlignment="1">
      <alignment horizontal="center"/>
    </xf>
    <xf numFmtId="0" fontId="28" fillId="0" borderId="87" xfId="0" applyFont="1" applyBorder="1" applyAlignment="1">
      <alignment horizontal="right"/>
    </xf>
    <xf numFmtId="0" fontId="28" fillId="0" borderId="26" xfId="0" applyFont="1" applyBorder="1" applyAlignment="1">
      <alignment horizontal="right"/>
    </xf>
    <xf numFmtId="0" fontId="28" fillId="0" borderId="44" xfId="0" applyFont="1" applyBorder="1" applyAlignment="1">
      <alignment horizontal="right"/>
    </xf>
    <xf numFmtId="165" fontId="8" fillId="0" borderId="56" xfId="0" applyNumberFormat="1" applyFont="1" applyBorder="1"/>
    <xf numFmtId="165" fontId="8" fillId="0" borderId="69" xfId="0" applyNumberFormat="1" applyFont="1" applyBorder="1"/>
    <xf numFmtId="165" fontId="8" fillId="0" borderId="36" xfId="0" applyNumberFormat="1" applyFont="1" applyBorder="1"/>
    <xf numFmtId="165" fontId="8" fillId="0" borderId="42" xfId="0" applyNumberFormat="1" applyFont="1" applyBorder="1"/>
    <xf numFmtId="165" fontId="8" fillId="0" borderId="62" xfId="0" applyNumberFormat="1" applyFont="1" applyBorder="1" applyAlignment="1">
      <alignment horizontal="center" vertical="center"/>
    </xf>
    <xf numFmtId="165" fontId="29" fillId="0" borderId="0" xfId="0" applyNumberFormat="1" applyFont="1" applyAlignment="1">
      <alignment vertical="center"/>
    </xf>
    <xf numFmtId="165" fontId="8" fillId="0" borderId="0" xfId="0" applyNumberFormat="1" applyFont="1" applyAlignment="1">
      <alignment vertical="center"/>
    </xf>
    <xf numFmtId="165" fontId="42" fillId="0" borderId="0" xfId="0" applyNumberFormat="1" applyFont="1"/>
    <xf numFmtId="0" fontId="28" fillId="0" borderId="87" xfId="0" applyFont="1" applyBorder="1"/>
    <xf numFmtId="165" fontId="28" fillId="0" borderId="31" xfId="0" applyNumberFormat="1" applyFont="1" applyBorder="1" applyAlignment="1">
      <alignment horizontal="right"/>
    </xf>
    <xf numFmtId="165" fontId="30" fillId="0" borderId="87" xfId="0" applyNumberFormat="1" applyFont="1" applyBorder="1" applyAlignment="1">
      <alignment horizontal="right"/>
    </xf>
    <xf numFmtId="165" fontId="28" fillId="0" borderId="29" xfId="0" applyNumberFormat="1" applyFont="1" applyBorder="1" applyAlignment="1">
      <alignment horizontal="center"/>
    </xf>
    <xf numFmtId="165" fontId="28" fillId="0" borderId="40" xfId="0" applyNumberFormat="1" applyFont="1" applyBorder="1" applyAlignment="1">
      <alignment horizontal="center"/>
    </xf>
    <xf numFmtId="0" fontId="28" fillId="0" borderId="87" xfId="0" applyFont="1" applyBorder="1" applyAlignment="1">
      <alignment horizontal="right" vertical="top" wrapText="1"/>
    </xf>
    <xf numFmtId="0" fontId="28" fillId="0" borderId="26" xfId="0" applyFont="1" applyBorder="1" applyAlignment="1">
      <alignment horizontal="right" vertical="top" wrapText="1"/>
    </xf>
    <xf numFmtId="0" fontId="28" fillId="0" borderId="44" xfId="0" applyFont="1" applyBorder="1" applyAlignment="1">
      <alignment horizontal="right" vertical="top" wrapText="1"/>
    </xf>
    <xf numFmtId="165" fontId="28" fillId="0" borderId="26" xfId="0" applyNumberFormat="1" applyFont="1" applyBorder="1" applyAlignment="1">
      <alignment horizontal="center"/>
    </xf>
    <xf numFmtId="165" fontId="28" fillId="0" borderId="44" xfId="0" applyNumberFormat="1" applyFont="1" applyBorder="1" applyAlignment="1">
      <alignment horizontal="center"/>
    </xf>
    <xf numFmtId="0" fontId="28" fillId="0" borderId="31" xfId="0" applyFont="1" applyBorder="1" applyAlignment="1">
      <alignment horizontal="right"/>
    </xf>
    <xf numFmtId="0" fontId="28" fillId="0" borderId="41" xfId="0" applyFont="1" applyBorder="1" applyAlignment="1">
      <alignment horizontal="right"/>
    </xf>
    <xf numFmtId="165" fontId="28" fillId="0" borderId="0" xfId="0" applyNumberFormat="1" applyFont="1" applyAlignment="1">
      <alignment horizontal="center"/>
    </xf>
    <xf numFmtId="165" fontId="28" fillId="0" borderId="41" xfId="0" applyNumberFormat="1" applyFont="1" applyBorder="1" applyAlignment="1">
      <alignment horizontal="center"/>
    </xf>
    <xf numFmtId="0" fontId="27" fillId="0" borderId="31" xfId="0" applyFont="1" applyBorder="1" applyAlignment="1">
      <alignment horizontal="right" wrapText="1"/>
    </xf>
    <xf numFmtId="0" fontId="27" fillId="0" borderId="0" xfId="0" applyFont="1" applyAlignment="1">
      <alignment horizontal="right" wrapText="1"/>
    </xf>
    <xf numFmtId="0" fontId="27" fillId="0" borderId="41" xfId="0" applyFont="1" applyBorder="1" applyAlignment="1">
      <alignment horizontal="right" wrapText="1"/>
    </xf>
    <xf numFmtId="165" fontId="30" fillId="0" borderId="0" xfId="0" applyNumberFormat="1" applyFont="1" applyAlignment="1">
      <alignment horizontal="right"/>
    </xf>
    <xf numFmtId="165" fontId="30" fillId="0" borderId="41" xfId="0" applyNumberFormat="1" applyFont="1" applyBorder="1" applyAlignment="1">
      <alignment horizontal="right"/>
    </xf>
    <xf numFmtId="0" fontId="28" fillId="0" borderId="31" xfId="0" applyFont="1" applyBorder="1" applyAlignment="1">
      <alignment horizontal="left" wrapText="1"/>
    </xf>
    <xf numFmtId="0" fontId="28" fillId="0" borderId="0" xfId="0" applyFont="1" applyAlignment="1">
      <alignment horizontal="left" wrapText="1"/>
    </xf>
    <xf numFmtId="9" fontId="28" fillId="2" borderId="1" xfId="0" applyNumberFormat="1" applyFont="1" applyFill="1" applyBorder="1" applyAlignment="1">
      <alignment horizontal="center" vertical="center"/>
    </xf>
    <xf numFmtId="9" fontId="28" fillId="2" borderId="2" xfId="0" applyNumberFormat="1" applyFont="1" applyFill="1" applyBorder="1" applyAlignment="1">
      <alignment horizontal="center" vertical="center"/>
    </xf>
    <xf numFmtId="9" fontId="28" fillId="2" borderId="60" xfId="0" applyNumberFormat="1" applyFont="1" applyFill="1" applyBorder="1" applyAlignment="1">
      <alignment horizontal="center" vertical="center"/>
    </xf>
    <xf numFmtId="165" fontId="27" fillId="0" borderId="26" xfId="0" applyNumberFormat="1" applyFont="1" applyBorder="1" applyAlignment="1">
      <alignment horizontal="right"/>
    </xf>
    <xf numFmtId="165" fontId="30" fillId="0" borderId="26" xfId="0" applyNumberFormat="1" applyFont="1" applyBorder="1" applyAlignment="1">
      <alignment horizontal="right"/>
    </xf>
    <xf numFmtId="0" fontId="27" fillId="0" borderId="28" xfId="0" applyFont="1" applyBorder="1" applyAlignment="1">
      <alignment horizontal="right" wrapText="1"/>
    </xf>
    <xf numFmtId="0" fontId="27" fillId="0" borderId="29" xfId="0" applyFont="1" applyBorder="1" applyAlignment="1">
      <alignment horizontal="right" wrapText="1"/>
    </xf>
    <xf numFmtId="0" fontId="27" fillId="0" borderId="40" xfId="0" applyFont="1" applyBorder="1" applyAlignment="1">
      <alignment horizontal="right" wrapText="1"/>
    </xf>
    <xf numFmtId="0" fontId="27" fillId="0" borderId="87" xfId="0" applyFont="1" applyBorder="1" applyAlignment="1">
      <alignment horizontal="right" wrapText="1"/>
    </xf>
    <xf numFmtId="0" fontId="27" fillId="0" borderId="0" xfId="0" applyFont="1" applyAlignment="1">
      <alignment horizontal="left" vertical="center" wrapText="1"/>
    </xf>
    <xf numFmtId="10" fontId="28" fillId="0" borderId="81" xfId="0" applyNumberFormat="1" applyFont="1" applyBorder="1" applyAlignment="1">
      <alignment horizontal="center" vertical="center" wrapText="1"/>
    </xf>
    <xf numFmtId="0" fontId="28" fillId="4" borderId="8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67" xfId="0" applyFont="1" applyFill="1" applyBorder="1" applyAlignment="1">
      <alignment horizontal="center" vertical="center"/>
    </xf>
    <xf numFmtId="0" fontId="29" fillId="0" borderId="0" xfId="0" applyFont="1" applyAlignment="1">
      <alignment horizontal="left"/>
    </xf>
    <xf numFmtId="49" fontId="30" fillId="0" borderId="0" xfId="0" applyNumberFormat="1" applyFont="1"/>
    <xf numFmtId="0" fontId="28" fillId="0" borderId="30" xfId="0" applyFont="1" applyBorder="1"/>
    <xf numFmtId="0" fontId="27" fillId="2" borderId="74" xfId="0" applyFont="1" applyFill="1" applyBorder="1" applyAlignment="1">
      <alignment horizontal="center" vertical="center"/>
    </xf>
    <xf numFmtId="0" fontId="28" fillId="0" borderId="3" xfId="0" applyFont="1" applyBorder="1" applyAlignment="1">
      <alignment horizontal="center" vertical="center"/>
    </xf>
    <xf numFmtId="165" fontId="29" fillId="0" borderId="10" xfId="0" applyNumberFormat="1" applyFont="1" applyBorder="1" applyAlignment="1">
      <alignment vertical="center"/>
    </xf>
    <xf numFmtId="0" fontId="29" fillId="0" borderId="0" xfId="0" applyFont="1" applyAlignment="1">
      <alignment wrapText="1"/>
    </xf>
    <xf numFmtId="10" fontId="29" fillId="0" borderId="0" xfId="0" applyNumberFormat="1" applyFont="1" applyAlignment="1">
      <alignment vertical="center" wrapText="1"/>
    </xf>
    <xf numFmtId="0" fontId="30" fillId="0" borderId="0" xfId="0" applyFont="1" applyAlignment="1">
      <alignment wrapText="1"/>
    </xf>
    <xf numFmtId="0" fontId="28" fillId="0" borderId="65" xfId="0" applyFont="1" applyBorder="1" applyAlignment="1">
      <alignment horizontal="center" vertical="center"/>
    </xf>
    <xf numFmtId="10" fontId="28" fillId="0" borderId="79" xfId="0" applyNumberFormat="1" applyFont="1" applyBorder="1"/>
    <xf numFmtId="10" fontId="28" fillId="0" borderId="62" xfId="0" applyNumberFormat="1" applyFont="1" applyBorder="1"/>
    <xf numFmtId="0" fontId="45" fillId="0" borderId="0" xfId="0" applyFont="1" applyAlignment="1">
      <alignment vertical="center"/>
    </xf>
    <xf numFmtId="10" fontId="28" fillId="0" borderId="48" xfId="0" applyNumberFormat="1" applyFont="1" applyBorder="1" applyAlignment="1">
      <alignment horizontal="right" wrapText="1"/>
    </xf>
    <xf numFmtId="0" fontId="29" fillId="0" borderId="0" xfId="0" applyFont="1" applyAlignment="1">
      <alignment horizontal="center"/>
    </xf>
    <xf numFmtId="10" fontId="29" fillId="0" borderId="0" xfId="1" applyNumberFormat="1" applyFont="1" applyAlignment="1">
      <alignment vertical="center"/>
    </xf>
    <xf numFmtId="0" fontId="27" fillId="0" borderId="30" xfId="0" applyFont="1" applyBorder="1" applyAlignment="1">
      <alignment horizontal="center" vertical="center"/>
    </xf>
    <xf numFmtId="0" fontId="27" fillId="0" borderId="91"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89" xfId="0" applyFont="1" applyBorder="1" applyAlignment="1">
      <alignment horizontal="center" vertical="center"/>
    </xf>
    <xf numFmtId="9" fontId="27" fillId="0" borderId="89" xfId="0" applyNumberFormat="1" applyFont="1" applyBorder="1" applyAlignment="1">
      <alignment horizontal="center" vertical="center"/>
    </xf>
    <xf numFmtId="166" fontId="27" fillId="0" borderId="89" xfId="0" applyNumberFormat="1" applyFont="1" applyBorder="1" applyAlignment="1">
      <alignment horizontal="center" vertical="center"/>
    </xf>
    <xf numFmtId="166" fontId="34" fillId="0" borderId="90" xfId="0" applyNumberFormat="1" applyFont="1" applyBorder="1" applyAlignment="1">
      <alignment horizontal="center" vertical="center"/>
    </xf>
    <xf numFmtId="0" fontId="8" fillId="0" borderId="78" xfId="0" applyFont="1" applyBorder="1" applyAlignment="1">
      <alignment horizontal="center" vertical="center"/>
    </xf>
    <xf numFmtId="1" fontId="8" fillId="0" borderId="57" xfId="0" applyNumberFormat="1" applyFont="1" applyBorder="1" applyAlignment="1">
      <alignment horizontal="center" vertical="center"/>
    </xf>
    <xf numFmtId="1" fontId="8" fillId="0" borderId="10" xfId="0" applyNumberFormat="1" applyFont="1" applyBorder="1" applyAlignment="1">
      <alignment horizontal="center" vertical="center"/>
    </xf>
    <xf numFmtId="49" fontId="37" fillId="0" borderId="0" xfId="13" applyNumberFormat="1" applyFont="1"/>
    <xf numFmtId="49" fontId="37" fillId="0" borderId="0" xfId="15" applyNumberFormat="1" applyFont="1"/>
    <xf numFmtId="0" fontId="37" fillId="0" borderId="0" xfId="13" applyFont="1" applyAlignment="1">
      <alignment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1" xfId="0" applyFont="1" applyBorder="1"/>
    <xf numFmtId="0" fontId="11" fillId="0" borderId="79" xfId="0" applyFont="1" applyBorder="1" applyAlignment="1">
      <alignment horizontal="center" vertical="center"/>
    </xf>
    <xf numFmtId="165" fontId="8" fillId="0" borderId="4" xfId="0" applyNumberFormat="1" applyFont="1" applyBorder="1" applyAlignment="1">
      <alignment horizontal="center"/>
    </xf>
    <xf numFmtId="165" fontId="8" fillId="0" borderId="6" xfId="0" applyNumberFormat="1" applyFont="1" applyBorder="1" applyAlignment="1">
      <alignment horizontal="center"/>
    </xf>
    <xf numFmtId="165" fontId="8" fillId="0" borderId="5" xfId="0" applyNumberFormat="1" applyFont="1" applyBorder="1" applyAlignment="1">
      <alignment horizontal="center"/>
    </xf>
    <xf numFmtId="165" fontId="8" fillId="0" borderId="83" xfId="0" applyNumberFormat="1" applyFont="1" applyBorder="1" applyAlignment="1">
      <alignment horizontal="center"/>
    </xf>
    <xf numFmtId="165" fontId="8" fillId="0" borderId="46" xfId="0" applyNumberFormat="1" applyFont="1" applyBorder="1" applyAlignment="1">
      <alignment horizontal="center"/>
    </xf>
    <xf numFmtId="165" fontId="8" fillId="0" borderId="11" xfId="0" applyNumberFormat="1" applyFont="1" applyBorder="1" applyAlignment="1">
      <alignment horizontal="center"/>
    </xf>
    <xf numFmtId="165" fontId="40" fillId="0" borderId="10" xfId="0" applyNumberFormat="1" applyFont="1" applyBorder="1" applyAlignment="1">
      <alignment horizontal="center"/>
    </xf>
    <xf numFmtId="165" fontId="40" fillId="0" borderId="3" xfId="0" applyNumberFormat="1" applyFont="1" applyBorder="1" applyAlignment="1">
      <alignment horizontal="center"/>
    </xf>
    <xf numFmtId="0" fontId="8" fillId="0" borderId="3" xfId="0" applyFont="1" applyBorder="1" applyAlignment="1">
      <alignment horizontal="center"/>
    </xf>
    <xf numFmtId="1" fontId="8" fillId="0" borderId="3" xfId="0" applyNumberFormat="1" applyFont="1" applyBorder="1" applyAlignment="1">
      <alignment horizontal="center"/>
    </xf>
    <xf numFmtId="0" fontId="11" fillId="0" borderId="51" xfId="0" applyFont="1" applyBorder="1" applyAlignment="1">
      <alignment horizontal="center" vertical="center"/>
    </xf>
    <xf numFmtId="1" fontId="8" fillId="0" borderId="3" xfId="0" applyNumberFormat="1" applyFont="1" applyBorder="1" applyAlignment="1">
      <alignment horizontal="center" vertical="center"/>
    </xf>
    <xf numFmtId="165" fontId="11" fillId="0" borderId="29" xfId="0" applyNumberFormat="1" applyFont="1" applyBorder="1" applyAlignment="1">
      <alignment horizontal="center"/>
    </xf>
    <xf numFmtId="165" fontId="11" fillId="0" borderId="62" xfId="0" applyNumberFormat="1" applyFont="1" applyBorder="1" applyAlignment="1">
      <alignment horizontal="center"/>
    </xf>
    <xf numFmtId="165" fontId="11" fillId="0" borderId="0" xfId="0" applyNumberFormat="1" applyFont="1" applyAlignment="1">
      <alignment horizontal="center"/>
    </xf>
    <xf numFmtId="0" fontId="40" fillId="0" borderId="0" xfId="0" applyFont="1" applyAlignment="1">
      <alignment horizontal="right"/>
    </xf>
    <xf numFmtId="165" fontId="48" fillId="0" borderId="0" xfId="0" applyNumberFormat="1" applyFont="1"/>
    <xf numFmtId="0" fontId="29" fillId="0" borderId="0" xfId="0" applyFont="1" applyAlignment="1">
      <alignment vertical="top" wrapText="1"/>
    </xf>
    <xf numFmtId="166" fontId="29" fillId="0" borderId="0" xfId="0" applyNumberFormat="1" applyFont="1" applyAlignment="1">
      <alignment horizontal="right"/>
    </xf>
    <xf numFmtId="0" fontId="11" fillId="0" borderId="0" xfId="0" applyFont="1" applyAlignment="1">
      <alignment horizontal="right"/>
    </xf>
    <xf numFmtId="0" fontId="11" fillId="0" borderId="0" xfId="0" applyFont="1" applyAlignment="1">
      <alignment horizontal="center" wrapText="1"/>
    </xf>
    <xf numFmtId="165" fontId="42" fillId="0" borderId="0" xfId="0" applyNumberFormat="1" applyFont="1" applyAlignment="1">
      <alignment horizontal="center"/>
    </xf>
    <xf numFmtId="0" fontId="36" fillId="0" borderId="0" xfId="0" applyFont="1" applyAlignment="1">
      <alignment wrapText="1"/>
    </xf>
    <xf numFmtId="171" fontId="29" fillId="0" borderId="0" xfId="0" applyNumberFormat="1" applyFont="1" applyAlignment="1">
      <alignment horizontal="right"/>
    </xf>
    <xf numFmtId="0" fontId="8" fillId="0" borderId="92" xfId="0" applyFont="1" applyBorder="1" applyAlignment="1">
      <alignment horizontal="center" vertical="center"/>
    </xf>
    <xf numFmtId="3" fontId="28" fillId="0" borderId="0" xfId="0" applyNumberFormat="1" applyFont="1" applyAlignment="1">
      <alignment horizontal="center" vertical="center"/>
    </xf>
    <xf numFmtId="165" fontId="28" fillId="0" borderId="0" xfId="0" applyNumberFormat="1" applyFont="1" applyAlignment="1">
      <alignment horizontal="center" vertical="center"/>
    </xf>
    <xf numFmtId="165" fontId="28" fillId="0" borderId="0" xfId="0" applyNumberFormat="1" applyFont="1" applyAlignment="1">
      <alignment vertical="center"/>
    </xf>
    <xf numFmtId="0" fontId="29" fillId="37" borderId="29" xfId="0" applyFont="1" applyFill="1" applyBorder="1"/>
    <xf numFmtId="0" fontId="29" fillId="0" borderId="62" xfId="0" applyFont="1" applyBorder="1"/>
    <xf numFmtId="0" fontId="27" fillId="0" borderId="29" xfId="0" applyFont="1" applyBorder="1" applyAlignment="1">
      <alignment vertical="center" wrapText="1"/>
    </xf>
    <xf numFmtId="0" fontId="27" fillId="0" borderId="87" xfId="0" applyFont="1" applyBorder="1" applyAlignment="1">
      <alignment vertical="center" wrapText="1"/>
    </xf>
    <xf numFmtId="0" fontId="27" fillId="0" borderId="26" xfId="0" applyFont="1" applyBorder="1" applyAlignment="1">
      <alignment vertical="center" wrapText="1"/>
    </xf>
    <xf numFmtId="0" fontId="31" fillId="0" borderId="29" xfId="0" applyFont="1" applyBorder="1" applyAlignment="1">
      <alignment vertical="center" wrapText="1"/>
    </xf>
    <xf numFmtId="165" fontId="29" fillId="0" borderId="0" xfId="0" applyNumberFormat="1" applyFont="1" applyAlignment="1">
      <alignment horizontal="right"/>
    </xf>
    <xf numFmtId="1" fontId="29" fillId="0" borderId="0" xfId="0" applyNumberFormat="1" applyFont="1"/>
    <xf numFmtId="165" fontId="29" fillId="0" borderId="0" xfId="0" applyNumberFormat="1" applyFont="1" applyAlignment="1">
      <alignment horizontal="left"/>
    </xf>
    <xf numFmtId="0" fontId="8" fillId="0" borderId="78" xfId="0" applyFont="1" applyBorder="1"/>
    <xf numFmtId="165" fontId="11" fillId="0" borderId="10" xfId="0" applyNumberFormat="1" applyFont="1" applyBorder="1" applyAlignment="1">
      <alignment horizontal="center"/>
    </xf>
    <xf numFmtId="165" fontId="11" fillId="0" borderId="3" xfId="0" applyNumberFormat="1" applyFont="1" applyBorder="1" applyAlignment="1">
      <alignment horizontal="center"/>
    </xf>
    <xf numFmtId="165" fontId="11" fillId="0" borderId="66" xfId="0" applyNumberFormat="1" applyFont="1" applyBorder="1" applyAlignment="1">
      <alignment horizontal="center"/>
    </xf>
    <xf numFmtId="0" fontId="11" fillId="0" borderId="30" xfId="0" applyFont="1" applyBorder="1"/>
    <xf numFmtId="0" fontId="49" fillId="39" borderId="0" xfId="0" applyFont="1" applyFill="1"/>
    <xf numFmtId="0" fontId="0" fillId="39" borderId="0" xfId="0" applyFill="1"/>
    <xf numFmtId="0" fontId="49" fillId="39" borderId="0" xfId="0" applyFont="1" applyFill="1" applyAlignment="1">
      <alignment horizontal="center"/>
    </xf>
    <xf numFmtId="0" fontId="50" fillId="39" borderId="0" xfId="0" applyFont="1" applyFill="1" applyAlignment="1">
      <alignment horizontal="center"/>
    </xf>
    <xf numFmtId="0" fontId="50" fillId="39" borderId="0" xfId="0" applyFont="1" applyFill="1" applyAlignment="1">
      <alignment horizontal="left"/>
    </xf>
    <xf numFmtId="0" fontId="50" fillId="39" borderId="0" xfId="0" applyFont="1" applyFill="1"/>
    <xf numFmtId="2" fontId="50" fillId="39" borderId="0" xfId="0" applyNumberFormat="1" applyFont="1" applyFill="1"/>
    <xf numFmtId="0" fontId="49" fillId="3" borderId="0" xfId="0" applyFont="1" applyFill="1"/>
    <xf numFmtId="0" fontId="0" fillId="3" borderId="0" xfId="0" applyFill="1"/>
    <xf numFmtId="10" fontId="50" fillId="39" borderId="0" xfId="0" applyNumberFormat="1" applyFont="1" applyFill="1"/>
    <xf numFmtId="0" fontId="27" fillId="0" borderId="62" xfId="0" applyFont="1" applyBorder="1"/>
    <xf numFmtId="166" fontId="31" fillId="0" borderId="0" xfId="0" applyNumberFormat="1" applyFont="1" applyAlignment="1">
      <alignment horizontal="center"/>
    </xf>
    <xf numFmtId="167" fontId="51" fillId="0" borderId="80" xfId="5" applyNumberFormat="1" applyFont="1" applyFill="1" applyBorder="1" applyAlignment="1">
      <alignment horizontal="right" vertical="center"/>
    </xf>
    <xf numFmtId="167" fontId="51" fillId="0" borderId="12" xfId="5" applyNumberFormat="1" applyFont="1" applyFill="1" applyBorder="1" applyAlignment="1">
      <alignment horizontal="right" vertical="center"/>
    </xf>
    <xf numFmtId="167" fontId="51" fillId="0" borderId="71" xfId="5" applyNumberFormat="1" applyFont="1" applyFill="1" applyBorder="1" applyAlignment="1">
      <alignment horizontal="right" vertical="center"/>
    </xf>
    <xf numFmtId="167" fontId="51" fillId="0" borderId="69" xfId="5" applyNumberFormat="1" applyFont="1" applyFill="1" applyBorder="1" applyAlignment="1">
      <alignment vertical="center"/>
    </xf>
    <xf numFmtId="167" fontId="51" fillId="0" borderId="75" xfId="5" applyNumberFormat="1" applyFont="1" applyFill="1" applyBorder="1" applyAlignment="1">
      <alignment vertical="center"/>
    </xf>
    <xf numFmtId="167" fontId="51" fillId="0" borderId="1" xfId="5" applyNumberFormat="1" applyFont="1" applyFill="1" applyBorder="1" applyAlignment="1">
      <alignment vertical="center"/>
    </xf>
    <xf numFmtId="167" fontId="51" fillId="0" borderId="2" xfId="5" applyNumberFormat="1" applyFont="1" applyFill="1" applyBorder="1" applyAlignment="1">
      <alignment vertical="center"/>
    </xf>
    <xf numFmtId="165" fontId="50" fillId="39" borderId="0" xfId="0" applyNumberFormat="1" applyFont="1" applyFill="1"/>
    <xf numFmtId="0" fontId="40" fillId="0" borderId="0" xfId="0" applyFont="1"/>
    <xf numFmtId="0" fontId="30" fillId="0" borderId="0" xfId="0" applyFont="1" applyAlignment="1">
      <alignment horizontal="center"/>
    </xf>
    <xf numFmtId="0" fontId="31" fillId="0" borderId="0" xfId="0" applyFont="1" applyAlignment="1">
      <alignment vertical="center" wrapText="1"/>
    </xf>
    <xf numFmtId="0" fontId="30" fillId="0" borderId="0" xfId="0" applyFont="1" applyAlignment="1">
      <alignment horizontal="right"/>
    </xf>
    <xf numFmtId="0" fontId="28" fillId="0" borderId="29" xfId="0" applyFont="1" applyBorder="1" applyAlignment="1">
      <alignment horizontal="left" wrapText="1"/>
    </xf>
    <xf numFmtId="0" fontId="29" fillId="0" borderId="0" xfId="0" applyFont="1" applyAlignment="1">
      <alignment vertical="center" wrapText="1"/>
    </xf>
    <xf numFmtId="2" fontId="30" fillId="0" borderId="0" xfId="1" applyNumberFormat="1" applyFont="1" applyAlignment="1">
      <alignment horizontal="right"/>
    </xf>
    <xf numFmtId="10" fontId="50" fillId="40" borderId="0" xfId="0" applyNumberFormat="1" applyFont="1" applyFill="1" applyProtection="1">
      <protection locked="0"/>
    </xf>
    <xf numFmtId="0" fontId="29" fillId="0" borderId="0" xfId="1" applyFont="1"/>
    <xf numFmtId="165" fontId="54" fillId="0" borderId="0" xfId="1" applyNumberFormat="1" applyFont="1" applyAlignment="1">
      <alignment horizontal="center" vertical="center"/>
    </xf>
    <xf numFmtId="0" fontId="30" fillId="0" borderId="67" xfId="0" applyFont="1" applyBorder="1" applyAlignment="1">
      <alignment horizontal="center" vertical="center"/>
    </xf>
    <xf numFmtId="0" fontId="27" fillId="0" borderId="80" xfId="0" applyFont="1" applyBorder="1" applyAlignment="1">
      <alignment horizontal="center" vertical="center"/>
    </xf>
    <xf numFmtId="0" fontId="27" fillId="0" borderId="76" xfId="0" applyFont="1" applyBorder="1" applyAlignment="1">
      <alignment horizontal="center" vertical="center"/>
    </xf>
    <xf numFmtId="0" fontId="28" fillId="0" borderId="0" xfId="0" applyFont="1" applyAlignment="1">
      <alignment vertical="top"/>
    </xf>
    <xf numFmtId="165" fontId="31" fillId="0" borderId="0" xfId="0" applyNumberFormat="1" applyFont="1"/>
    <xf numFmtId="49" fontId="27" fillId="0" borderId="0" xfId="0" applyNumberFormat="1" applyFont="1" applyAlignment="1">
      <alignment horizontal="right"/>
    </xf>
    <xf numFmtId="49" fontId="34" fillId="0" borderId="0" xfId="1" applyNumberFormat="1" applyFont="1" applyAlignment="1">
      <alignment horizontal="right"/>
    </xf>
    <xf numFmtId="0" fontId="35" fillId="0" borderId="0" xfId="0" applyFont="1" applyAlignment="1">
      <alignment horizontal="right"/>
    </xf>
    <xf numFmtId="0" fontId="34" fillId="0" borderId="0" xfId="1" applyFont="1" applyAlignment="1">
      <alignment horizontal="right"/>
    </xf>
    <xf numFmtId="0" fontId="39" fillId="0" borderId="0" xfId="0" applyFont="1" applyAlignment="1">
      <alignment horizontal="right"/>
    </xf>
    <xf numFmtId="0" fontId="27" fillId="0" borderId="0" xfId="0" applyFont="1" applyAlignment="1">
      <alignment horizontal="right" vertical="center"/>
    </xf>
    <xf numFmtId="165" fontId="31" fillId="0" borderId="0" xfId="0" applyNumberFormat="1" applyFont="1" applyAlignment="1">
      <alignment horizontal="right"/>
    </xf>
    <xf numFmtId="49" fontId="34" fillId="0" borderId="0" xfId="0" applyNumberFormat="1" applyFont="1" applyAlignment="1">
      <alignment horizontal="right" textRotation="90"/>
    </xf>
    <xf numFmtId="49" fontId="27" fillId="0" borderId="0" xfId="0" applyNumberFormat="1" applyFont="1" applyAlignment="1">
      <alignment horizontal="right" vertical="center"/>
    </xf>
    <xf numFmtId="0" fontId="31" fillId="0" borderId="0" xfId="0" applyFont="1" applyAlignment="1">
      <alignment horizontal="left" vertical="center" wrapText="1"/>
    </xf>
    <xf numFmtId="165" fontId="41" fillId="0" borderId="0" xfId="0" applyNumberFormat="1" applyFont="1" applyAlignment="1">
      <alignment vertical="center" wrapText="1"/>
    </xf>
    <xf numFmtId="165" fontId="41" fillId="0" borderId="0" xfId="0" applyNumberFormat="1" applyFont="1" applyAlignment="1">
      <alignment vertical="center"/>
    </xf>
    <xf numFmtId="49" fontId="27" fillId="0" borderId="51" xfId="0" applyNumberFormat="1" applyFont="1" applyBorder="1" applyAlignment="1">
      <alignment horizontal="right"/>
    </xf>
    <xf numFmtId="49" fontId="27" fillId="0" borderId="43" xfId="0" applyNumberFormat="1" applyFont="1" applyBorder="1" applyAlignment="1">
      <alignment horizontal="right"/>
    </xf>
    <xf numFmtId="0" fontId="34" fillId="0" borderId="0" xfId="0" applyFont="1"/>
    <xf numFmtId="0" fontId="28" fillId="38" borderId="0" xfId="0" applyFont="1" applyFill="1"/>
    <xf numFmtId="0" fontId="27" fillId="38" borderId="0" xfId="0" applyFont="1" applyFill="1" applyAlignment="1">
      <alignment horizontal="center"/>
    </xf>
    <xf numFmtId="170" fontId="28" fillId="38" borderId="0" xfId="0" applyNumberFormat="1" applyFont="1" applyFill="1"/>
    <xf numFmtId="170" fontId="28" fillId="0" borderId="0" xfId="0" applyNumberFormat="1" applyFont="1"/>
    <xf numFmtId="0" fontId="28" fillId="0" borderId="79" xfId="0" applyFont="1" applyBorder="1" applyAlignment="1">
      <alignment vertical="center"/>
    </xf>
    <xf numFmtId="0" fontId="28" fillId="0" borderId="74" xfId="0" applyFont="1" applyBorder="1" applyAlignment="1">
      <alignment horizontal="center" vertical="center"/>
    </xf>
    <xf numFmtId="0" fontId="39" fillId="0" borderId="0" xfId="0" applyFont="1" applyAlignment="1">
      <alignment horizontal="left" vertical="top" wrapText="1"/>
    </xf>
    <xf numFmtId="0" fontId="30" fillId="0" borderId="0" xfId="0" applyFont="1" applyAlignment="1">
      <alignment vertical="top" wrapText="1"/>
    </xf>
    <xf numFmtId="0" fontId="34" fillId="0" borderId="0" xfId="0" applyFont="1" applyAlignment="1">
      <alignment horizontal="right"/>
    </xf>
    <xf numFmtId="0" fontId="55" fillId="0" borderId="0" xfId="0" applyFont="1" applyAlignment="1">
      <alignment horizontal="right"/>
    </xf>
    <xf numFmtId="165" fontId="30" fillId="0" borderId="0" xfId="0" applyNumberFormat="1" applyFont="1"/>
    <xf numFmtId="0" fontId="56" fillId="0" borderId="0" xfId="0" applyFont="1"/>
    <xf numFmtId="0" fontId="37" fillId="0" borderId="0" xfId="0" applyFont="1"/>
    <xf numFmtId="0" fontId="37" fillId="0" borderId="0" xfId="13" applyFont="1"/>
    <xf numFmtId="0" fontId="57" fillId="0" borderId="0" xfId="0" applyFont="1"/>
    <xf numFmtId="1" fontId="37" fillId="0" borderId="82" xfId="0" applyNumberFormat="1" applyFont="1" applyBorder="1" applyAlignment="1">
      <alignment horizontal="center" vertical="center"/>
    </xf>
    <xf numFmtId="0" fontId="51" fillId="0" borderId="81"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48" xfId="0" applyFont="1" applyBorder="1" applyAlignment="1">
      <alignment horizontal="center" vertical="center" wrapText="1"/>
    </xf>
    <xf numFmtId="167" fontId="58" fillId="0" borderId="0" xfId="5" applyNumberFormat="1" applyFont="1" applyFill="1" applyBorder="1" applyAlignment="1">
      <alignment horizontal="right" vertical="center"/>
    </xf>
    <xf numFmtId="0" fontId="56" fillId="0" borderId="46" xfId="0" applyFont="1" applyBorder="1" applyAlignment="1">
      <alignment vertical="center"/>
    </xf>
    <xf numFmtId="0" fontId="56" fillId="0" borderId="73" xfId="0" applyFont="1" applyBorder="1" applyAlignment="1">
      <alignment vertical="center"/>
    </xf>
    <xf numFmtId="0" fontId="56" fillId="0" borderId="14" xfId="0" applyFont="1" applyBorder="1" applyAlignment="1">
      <alignment horizontal="center" vertical="center"/>
    </xf>
    <xf numFmtId="0" fontId="56" fillId="0" borderId="6" xfId="0" applyFont="1" applyBorder="1" applyAlignment="1">
      <alignment horizontal="center" vertical="center"/>
    </xf>
    <xf numFmtId="0" fontId="37" fillId="0" borderId="0" xfId="0" applyFont="1" applyAlignment="1">
      <alignment horizontal="left" vertical="center"/>
    </xf>
    <xf numFmtId="1" fontId="37" fillId="0" borderId="0" xfId="0" applyNumberFormat="1" applyFont="1" applyAlignment="1">
      <alignment horizontal="center" vertical="center"/>
    </xf>
    <xf numFmtId="167" fontId="51" fillId="0" borderId="48" xfId="5" applyNumberFormat="1" applyFont="1" applyFill="1" applyBorder="1" applyAlignment="1">
      <alignment horizontal="right" vertical="center"/>
    </xf>
    <xf numFmtId="167" fontId="51" fillId="0" borderId="4" xfId="5" applyNumberFormat="1" applyFont="1" applyFill="1" applyBorder="1" applyAlignment="1">
      <alignment horizontal="right" vertical="center"/>
    </xf>
    <xf numFmtId="167" fontId="51" fillId="0" borderId="5" xfId="5" applyNumberFormat="1" applyFont="1" applyFill="1" applyBorder="1" applyAlignment="1">
      <alignment horizontal="right" vertical="center"/>
    </xf>
    <xf numFmtId="167" fontId="51" fillId="0" borderId="72" xfId="5" applyNumberFormat="1" applyFont="1" applyFill="1" applyBorder="1" applyAlignment="1">
      <alignment horizontal="right" vertical="center"/>
    </xf>
    <xf numFmtId="167" fontId="51" fillId="0" borderId="81" xfId="5" applyNumberFormat="1" applyFont="1" applyFill="1" applyBorder="1" applyAlignment="1">
      <alignment horizontal="right" vertical="center"/>
    </xf>
    <xf numFmtId="167" fontId="51" fillId="0" borderId="1" xfId="5" applyNumberFormat="1" applyFont="1" applyFill="1" applyBorder="1" applyAlignment="1">
      <alignment horizontal="right" vertical="center"/>
    </xf>
    <xf numFmtId="167" fontId="51" fillId="0" borderId="74" xfId="5" applyNumberFormat="1" applyFont="1" applyFill="1" applyBorder="1" applyAlignment="1">
      <alignment horizontal="right" vertical="center"/>
    </xf>
    <xf numFmtId="167" fontId="51" fillId="0" borderId="83" xfId="5" applyNumberFormat="1" applyFont="1" applyFill="1" applyBorder="1" applyAlignment="1">
      <alignment horizontal="right" vertical="center"/>
    </xf>
    <xf numFmtId="167" fontId="51" fillId="0" borderId="11" xfId="5" applyNumberFormat="1" applyFont="1" applyFill="1" applyBorder="1" applyAlignment="1">
      <alignment horizontal="right" vertical="center"/>
    </xf>
    <xf numFmtId="167" fontId="51" fillId="0" borderId="49" xfId="5" applyNumberFormat="1" applyFont="1" applyFill="1" applyBorder="1" applyAlignment="1">
      <alignment horizontal="right" vertical="center"/>
    </xf>
    <xf numFmtId="167" fontId="51" fillId="0" borderId="78" xfId="5" applyNumberFormat="1" applyFont="1" applyFill="1" applyBorder="1" applyAlignment="1">
      <alignment horizontal="right" vertical="center"/>
    </xf>
    <xf numFmtId="167" fontId="51" fillId="0" borderId="70" xfId="5" applyNumberFormat="1" applyFont="1" applyFill="1" applyBorder="1" applyAlignment="1">
      <alignment horizontal="right" vertical="center"/>
    </xf>
    <xf numFmtId="167" fontId="51" fillId="0" borderId="76" xfId="5" applyNumberFormat="1" applyFont="1" applyFill="1" applyBorder="1" applyAlignment="1">
      <alignment horizontal="right" vertical="center"/>
    </xf>
    <xf numFmtId="167" fontId="51" fillId="0" borderId="2" xfId="5" applyNumberFormat="1" applyFont="1" applyFill="1" applyBorder="1" applyAlignment="1">
      <alignment horizontal="right" vertical="center"/>
    </xf>
    <xf numFmtId="167" fontId="51" fillId="0" borderId="0" xfId="5" applyNumberFormat="1" applyFont="1" applyFill="1" applyBorder="1" applyAlignment="1">
      <alignment horizontal="right" vertical="center"/>
    </xf>
    <xf numFmtId="165" fontId="8" fillId="0" borderId="72" xfId="0" applyNumberFormat="1" applyFont="1" applyBorder="1" applyAlignment="1">
      <alignment horizontal="center"/>
    </xf>
    <xf numFmtId="165" fontId="8" fillId="0" borderId="74" xfId="0" applyNumberFormat="1" applyFont="1" applyBorder="1" applyAlignment="1">
      <alignment horizontal="center"/>
    </xf>
    <xf numFmtId="165" fontId="8" fillId="0" borderId="78" xfId="0" applyNumberFormat="1" applyFont="1" applyBorder="1" applyAlignment="1">
      <alignment horizontal="center"/>
    </xf>
    <xf numFmtId="1" fontId="6" fillId="0" borderId="0" xfId="0" applyNumberFormat="1" applyFont="1" applyAlignment="1">
      <alignment horizontal="center" vertical="center"/>
    </xf>
    <xf numFmtId="0" fontId="37" fillId="0" borderId="47" xfId="0" applyFont="1" applyBorder="1" applyAlignment="1">
      <alignment vertical="center"/>
    </xf>
    <xf numFmtId="0" fontId="60" fillId="0" borderId="0" xfId="0" applyFont="1" applyAlignment="1">
      <alignment vertical="center"/>
    </xf>
    <xf numFmtId="0" fontId="38" fillId="0" borderId="0" xfId="0" applyFont="1" applyAlignment="1">
      <alignment vertical="center"/>
    </xf>
    <xf numFmtId="0" fontId="38" fillId="0" borderId="50" xfId="0" applyFont="1" applyBorder="1" applyAlignment="1">
      <alignment vertical="center"/>
    </xf>
    <xf numFmtId="167" fontId="51" fillId="0" borderId="9" xfId="14" applyNumberFormat="1" applyFont="1" applyFill="1" applyBorder="1" applyAlignment="1">
      <alignment horizontal="right" vertical="center"/>
    </xf>
    <xf numFmtId="167" fontId="51" fillId="0" borderId="48" xfId="14" applyNumberFormat="1" applyFont="1" applyFill="1" applyBorder="1" applyAlignment="1">
      <alignment horizontal="right" vertical="center"/>
    </xf>
    <xf numFmtId="167" fontId="51" fillId="0" borderId="4" xfId="14" applyNumberFormat="1" applyFont="1" applyFill="1" applyBorder="1" applyAlignment="1">
      <alignment horizontal="right" vertical="center"/>
    </xf>
    <xf numFmtId="167" fontId="51" fillId="0" borderId="5" xfId="14" applyNumberFormat="1" applyFont="1" applyFill="1" applyBorder="1" applyAlignment="1">
      <alignment horizontal="right" vertical="center"/>
    </xf>
    <xf numFmtId="167" fontId="51" fillId="0" borderId="80" xfId="14" applyNumberFormat="1" applyFont="1" applyFill="1" applyBorder="1" applyAlignment="1">
      <alignment horizontal="right" vertical="center"/>
    </xf>
    <xf numFmtId="167" fontId="51" fillId="0" borderId="35" xfId="14" applyNumberFormat="1" applyFont="1" applyFill="1" applyBorder="1" applyAlignment="1">
      <alignment horizontal="right" vertical="center"/>
    </xf>
    <xf numFmtId="167" fontId="51" fillId="0" borderId="74" xfId="14" applyNumberFormat="1" applyFont="1" applyFill="1" applyBorder="1" applyAlignment="1">
      <alignment horizontal="right" vertical="center"/>
    </xf>
    <xf numFmtId="167" fontId="51" fillId="0" borderId="81" xfId="14" applyNumberFormat="1" applyFont="1" applyFill="1" applyBorder="1" applyAlignment="1">
      <alignment horizontal="right" vertical="center"/>
    </xf>
    <xf numFmtId="167" fontId="51" fillId="0" borderId="1" xfId="14" applyNumberFormat="1" applyFont="1" applyFill="1" applyBorder="1" applyAlignment="1">
      <alignment horizontal="right" vertical="center"/>
    </xf>
    <xf numFmtId="167" fontId="51" fillId="0" borderId="56" xfId="14" applyNumberFormat="1" applyFont="1" applyFill="1" applyBorder="1" applyAlignment="1">
      <alignment horizontal="right" vertical="center"/>
    </xf>
    <xf numFmtId="167" fontId="51" fillId="0" borderId="0" xfId="14" applyNumberFormat="1" applyFont="1" applyFill="1" applyBorder="1" applyAlignment="1">
      <alignment horizontal="right" vertical="center"/>
    </xf>
    <xf numFmtId="167" fontId="51" fillId="0" borderId="41" xfId="14" applyNumberFormat="1" applyFont="1" applyFill="1" applyBorder="1" applyAlignment="1">
      <alignment horizontal="right" vertical="center"/>
    </xf>
    <xf numFmtId="167" fontId="51" fillId="0" borderId="78" xfId="14" applyNumberFormat="1" applyFont="1" applyFill="1" applyBorder="1" applyAlignment="1">
      <alignment horizontal="right" vertical="center"/>
    </xf>
    <xf numFmtId="167" fontId="51" fillId="0" borderId="76" xfId="14" applyNumberFormat="1" applyFont="1" applyFill="1" applyBorder="1" applyAlignment="1">
      <alignment horizontal="right" vertical="center"/>
    </xf>
    <xf numFmtId="167" fontId="51" fillId="0" borderId="2" xfId="14" applyNumberFormat="1" applyFont="1" applyFill="1" applyBorder="1" applyAlignment="1">
      <alignment horizontal="right" vertical="center"/>
    </xf>
    <xf numFmtId="167" fontId="51" fillId="0" borderId="37" xfId="14" applyNumberFormat="1" applyFont="1" applyFill="1" applyBorder="1" applyAlignment="1">
      <alignment horizontal="right" vertical="center"/>
    </xf>
    <xf numFmtId="0" fontId="61" fillId="0" borderId="39" xfId="0" applyFont="1" applyBorder="1"/>
    <xf numFmtId="0" fontId="60" fillId="0" borderId="37" xfId="0" applyFont="1" applyBorder="1" applyAlignment="1">
      <alignment vertical="center"/>
    </xf>
    <xf numFmtId="0" fontId="61" fillId="0" borderId="37" xfId="0" applyFont="1" applyBorder="1" applyAlignment="1">
      <alignment vertical="center"/>
    </xf>
    <xf numFmtId="0" fontId="62" fillId="0" borderId="37" xfId="0" applyFont="1" applyBorder="1" applyAlignment="1">
      <alignment vertical="center"/>
    </xf>
    <xf numFmtId="0" fontId="61" fillId="0" borderId="86" xfId="0" applyFont="1" applyBorder="1" applyAlignment="1">
      <alignment vertical="center"/>
    </xf>
    <xf numFmtId="0" fontId="61" fillId="0" borderId="0" xfId="0" applyFont="1" applyAlignment="1">
      <alignment vertical="center"/>
    </xf>
    <xf numFmtId="0" fontId="6" fillId="0" borderId="0" xfId="0" applyFont="1" applyAlignment="1">
      <alignment horizontal="left"/>
    </xf>
    <xf numFmtId="0" fontId="6" fillId="0" borderId="0" xfId="0" applyFont="1"/>
    <xf numFmtId="0" fontId="61" fillId="0" borderId="0" xfId="0" applyFont="1"/>
    <xf numFmtId="0" fontId="37" fillId="0" borderId="47" xfId="0" applyFont="1" applyBorder="1"/>
    <xf numFmtId="0" fontId="58" fillId="0" borderId="0" xfId="0" applyFont="1" applyAlignment="1">
      <alignment vertical="center"/>
    </xf>
    <xf numFmtId="0" fontId="37" fillId="0" borderId="50" xfId="0" applyFont="1" applyBorder="1" applyAlignment="1">
      <alignment vertical="center"/>
    </xf>
    <xf numFmtId="0" fontId="56" fillId="0" borderId="0" xfId="0" applyFont="1" applyAlignment="1">
      <alignment vertical="center"/>
    </xf>
    <xf numFmtId="0" fontId="56" fillId="0" borderId="47" xfId="0" applyFont="1" applyBorder="1" applyAlignment="1">
      <alignment vertical="center"/>
    </xf>
    <xf numFmtId="49" fontId="59" fillId="0" borderId="0" xfId="0" applyNumberFormat="1" applyFont="1" applyAlignment="1">
      <alignment vertical="center"/>
    </xf>
    <xf numFmtId="49" fontId="59" fillId="0" borderId="50" xfId="0" applyNumberFormat="1" applyFont="1" applyBorder="1" applyAlignment="1">
      <alignment vertical="center"/>
    </xf>
    <xf numFmtId="0" fontId="56" fillId="0" borderId="47" xfId="0" applyFont="1" applyBorder="1"/>
    <xf numFmtId="167" fontId="58" fillId="0" borderId="0" xfId="14" applyNumberFormat="1" applyFont="1" applyFill="1" applyBorder="1" applyAlignment="1">
      <alignment horizontal="right" vertical="center"/>
    </xf>
    <xf numFmtId="167" fontId="58" fillId="0" borderId="50" xfId="14" applyNumberFormat="1" applyFont="1" applyFill="1" applyBorder="1" applyAlignment="1">
      <alignment horizontal="right" vertical="center"/>
    </xf>
    <xf numFmtId="0" fontId="37" fillId="0" borderId="50" xfId="0" applyFont="1" applyBorder="1"/>
    <xf numFmtId="0" fontId="37" fillId="0" borderId="0" xfId="13" applyFont="1" applyAlignment="1">
      <alignment vertical="center"/>
    </xf>
    <xf numFmtId="0" fontId="6" fillId="0" borderId="0" xfId="8" applyFont="1"/>
    <xf numFmtId="0" fontId="6" fillId="0" borderId="0" xfId="9" applyNumberFormat="1" applyFont="1" applyFill="1" applyBorder="1" applyAlignment="1">
      <alignment vertical="center"/>
    </xf>
    <xf numFmtId="167" fontId="37" fillId="0" borderId="0" xfId="0" applyNumberFormat="1" applyFont="1" applyAlignment="1">
      <alignment vertical="center"/>
    </xf>
    <xf numFmtId="0" fontId="37" fillId="0" borderId="82" xfId="0" applyFont="1" applyBorder="1" applyAlignment="1">
      <alignment vertical="center"/>
    </xf>
    <xf numFmtId="167" fontId="37" fillId="0" borderId="82" xfId="0" applyNumberFormat="1" applyFont="1" applyBorder="1" applyAlignment="1">
      <alignment vertical="center"/>
    </xf>
    <xf numFmtId="0" fontId="37" fillId="0" borderId="82" xfId="0" applyFont="1" applyBorder="1" applyAlignment="1">
      <alignment horizontal="center" vertical="center"/>
    </xf>
    <xf numFmtId="0" fontId="37" fillId="0" borderId="73" xfId="0" applyFont="1" applyBorder="1" applyAlignment="1">
      <alignment horizontal="center" vertical="center"/>
    </xf>
    <xf numFmtId="0" fontId="37" fillId="0" borderId="0" xfId="0" applyFont="1" applyAlignment="1">
      <alignment horizontal="center" vertical="center"/>
    </xf>
    <xf numFmtId="168" fontId="37" fillId="0" borderId="0" xfId="14" applyNumberFormat="1" applyFont="1" applyFill="1" applyBorder="1" applyAlignment="1">
      <alignment horizontal="center" vertical="center"/>
    </xf>
    <xf numFmtId="0" fontId="38" fillId="0" borderId="50" xfId="0" applyFont="1" applyBorder="1"/>
    <xf numFmtId="165" fontId="37" fillId="0" borderId="82" xfId="0" applyNumberFormat="1" applyFont="1" applyBorder="1" applyAlignment="1">
      <alignment vertical="center"/>
    </xf>
    <xf numFmtId="165" fontId="37" fillId="0" borderId="0" xfId="0" applyNumberFormat="1" applyFont="1" applyAlignment="1">
      <alignment vertical="center"/>
    </xf>
    <xf numFmtId="165" fontId="37" fillId="0" borderId="82" xfId="14" applyNumberFormat="1" applyFont="1" applyFill="1" applyBorder="1" applyAlignment="1">
      <alignment vertical="center"/>
    </xf>
    <xf numFmtId="165" fontId="37" fillId="0" borderId="0" xfId="14" applyNumberFormat="1" applyFont="1" applyFill="1" applyBorder="1" applyAlignment="1">
      <alignment vertical="center"/>
    </xf>
    <xf numFmtId="169" fontId="59" fillId="0" borderId="82" xfId="0" applyNumberFormat="1" applyFont="1" applyBorder="1" applyAlignment="1">
      <alignment horizontal="center" vertical="center"/>
    </xf>
    <xf numFmtId="165" fontId="37" fillId="0" borderId="14" xfId="0" applyNumberFormat="1" applyFont="1" applyBorder="1" applyAlignment="1">
      <alignment vertical="center"/>
    </xf>
    <xf numFmtId="167" fontId="37" fillId="0" borderId="37" xfId="0" applyNumberFormat="1" applyFont="1" applyBorder="1" applyAlignment="1">
      <alignment vertical="center"/>
    </xf>
    <xf numFmtId="49" fontId="56" fillId="0" borderId="60" xfId="0" applyNumberFormat="1" applyFont="1" applyBorder="1" applyAlignment="1">
      <alignment vertical="center"/>
    </xf>
    <xf numFmtId="165" fontId="37" fillId="0" borderId="72" xfId="0" applyNumberFormat="1" applyFont="1" applyBorder="1" applyAlignment="1">
      <alignment vertical="center"/>
    </xf>
    <xf numFmtId="165" fontId="37" fillId="0" borderId="74" xfId="0" applyNumberFormat="1" applyFont="1" applyBorder="1" applyAlignment="1">
      <alignment vertical="center"/>
    </xf>
    <xf numFmtId="165" fontId="37" fillId="0" borderId="78" xfId="0" applyNumberFormat="1" applyFont="1" applyBorder="1" applyAlignment="1">
      <alignment vertical="center"/>
    </xf>
    <xf numFmtId="169" fontId="63" fillId="0" borderId="57" xfId="0" applyNumberFormat="1" applyFont="1" applyBorder="1" applyAlignment="1">
      <alignment horizontal="center" vertical="center"/>
    </xf>
    <xf numFmtId="165" fontId="64" fillId="0" borderId="65" xfId="0" applyNumberFormat="1" applyFont="1" applyBorder="1" applyAlignment="1">
      <alignment vertical="center"/>
    </xf>
    <xf numFmtId="169" fontId="51" fillId="0" borderId="57" xfId="0" applyNumberFormat="1" applyFont="1" applyBorder="1" applyAlignment="1">
      <alignment horizontal="center" vertical="center"/>
    </xf>
    <xf numFmtId="169" fontId="63" fillId="0" borderId="0" xfId="0" applyNumberFormat="1" applyFont="1" applyAlignment="1">
      <alignment horizontal="center" vertical="center"/>
    </xf>
    <xf numFmtId="0" fontId="37" fillId="0" borderId="34" xfId="0" applyFont="1" applyBorder="1"/>
    <xf numFmtId="0" fontId="37" fillId="0" borderId="27" xfId="0" applyFont="1" applyBorder="1" applyAlignment="1">
      <alignment vertical="center"/>
    </xf>
    <xf numFmtId="0" fontId="38" fillId="0" borderId="27" xfId="0" applyFont="1" applyBorder="1"/>
    <xf numFmtId="0" fontId="38" fillId="0" borderId="85" xfId="0" applyFont="1" applyBorder="1"/>
    <xf numFmtId="0" fontId="38" fillId="0" borderId="44" xfId="0" applyFont="1" applyBorder="1"/>
    <xf numFmtId="9" fontId="38" fillId="0" borderId="75" xfId="0" applyNumberFormat="1" applyFont="1" applyBorder="1"/>
    <xf numFmtId="0" fontId="38" fillId="0" borderId="33" xfId="0" applyFont="1" applyBorder="1" applyAlignment="1">
      <alignment horizontal="right"/>
    </xf>
    <xf numFmtId="165" fontId="37" fillId="0" borderId="0" xfId="0" applyNumberFormat="1" applyFont="1"/>
    <xf numFmtId="0" fontId="38" fillId="0" borderId="69" xfId="0" applyFont="1" applyBorder="1" applyAlignment="1">
      <alignment horizontal="right"/>
    </xf>
    <xf numFmtId="0" fontId="38" fillId="0" borderId="74" xfId="0" applyFont="1" applyBorder="1" applyAlignment="1">
      <alignment horizontal="right"/>
    </xf>
    <xf numFmtId="0" fontId="38" fillId="0" borderId="78" xfId="0" applyFont="1" applyBorder="1" applyAlignment="1">
      <alignment horizontal="right"/>
    </xf>
    <xf numFmtId="0" fontId="47" fillId="0" borderId="79" xfId="0" applyFont="1" applyBorder="1"/>
    <xf numFmtId="0" fontId="59" fillId="0" borderId="30" xfId="0" applyFont="1" applyBorder="1"/>
    <xf numFmtId="9" fontId="37" fillId="0" borderId="0" xfId="0" applyNumberFormat="1" applyFont="1"/>
    <xf numFmtId="0" fontId="47" fillId="0" borderId="43" xfId="0" applyFont="1" applyBorder="1" applyAlignment="1">
      <alignment horizontal="center" vertical="center"/>
    </xf>
    <xf numFmtId="165" fontId="38" fillId="0" borderId="55" xfId="0" applyNumberFormat="1" applyFont="1" applyBorder="1"/>
    <xf numFmtId="0" fontId="38" fillId="0" borderId="13" xfId="0" applyFont="1" applyBorder="1"/>
    <xf numFmtId="0" fontId="47" fillId="0" borderId="16" xfId="0" applyFont="1" applyBorder="1"/>
    <xf numFmtId="0" fontId="38" fillId="0" borderId="72" xfId="0" applyFont="1" applyBorder="1" applyAlignment="1">
      <alignment horizontal="center" vertical="center"/>
    </xf>
    <xf numFmtId="165" fontId="37" fillId="0" borderId="71" xfId="0" applyNumberFormat="1" applyFont="1" applyBorder="1"/>
    <xf numFmtId="165" fontId="37" fillId="0" borderId="67" xfId="0" applyNumberFormat="1" applyFont="1" applyBorder="1"/>
    <xf numFmtId="165" fontId="59" fillId="0" borderId="12" xfId="0" applyNumberFormat="1" applyFont="1" applyBorder="1"/>
    <xf numFmtId="0" fontId="38" fillId="0" borderId="74" xfId="0" applyFont="1" applyBorder="1" applyAlignment="1">
      <alignment horizontal="center" vertical="center"/>
    </xf>
    <xf numFmtId="165" fontId="37" fillId="0" borderId="73" xfId="0" applyNumberFormat="1" applyFont="1" applyBorder="1"/>
    <xf numFmtId="165" fontId="37" fillId="0" borderId="82" xfId="0" applyNumberFormat="1" applyFont="1" applyBorder="1"/>
    <xf numFmtId="165" fontId="59" fillId="0" borderId="1" xfId="0" applyNumberFormat="1" applyFont="1" applyBorder="1"/>
    <xf numFmtId="0" fontId="38" fillId="0" borderId="78" xfId="0" applyFont="1" applyBorder="1" applyAlignment="1">
      <alignment horizontal="center" vertical="center"/>
    </xf>
    <xf numFmtId="165" fontId="37" fillId="0" borderId="77" xfId="0" applyNumberFormat="1" applyFont="1" applyBorder="1"/>
    <xf numFmtId="165" fontId="37" fillId="0" borderId="84" xfId="0" applyNumberFormat="1" applyFont="1" applyBorder="1"/>
    <xf numFmtId="165" fontId="59" fillId="0" borderId="2" xfId="0" applyNumberFormat="1" applyFont="1" applyBorder="1"/>
    <xf numFmtId="165" fontId="59" fillId="0" borderId="0" xfId="0" applyNumberFormat="1" applyFont="1"/>
    <xf numFmtId="0" fontId="59" fillId="0" borderId="0" xfId="0" applyFont="1"/>
    <xf numFmtId="165" fontId="59" fillId="0" borderId="0" xfId="0" applyNumberFormat="1" applyFont="1" applyAlignment="1">
      <alignment horizontal="center"/>
    </xf>
    <xf numFmtId="0" fontId="59" fillId="0" borderId="0" xfId="0" applyFont="1" applyAlignment="1">
      <alignment horizontal="center"/>
    </xf>
    <xf numFmtId="167" fontId="51" fillId="0" borderId="73" xfId="5" applyNumberFormat="1" applyFont="1" applyFill="1" applyBorder="1" applyAlignment="1">
      <alignment horizontal="right" vertical="center"/>
    </xf>
    <xf numFmtId="167" fontId="51" fillId="0" borderId="69" xfId="5" applyNumberFormat="1" applyFont="1" applyFill="1" applyBorder="1" applyAlignment="1">
      <alignment horizontal="right" vertical="center"/>
    </xf>
    <xf numFmtId="167" fontId="51" fillId="0" borderId="9" xfId="5" applyNumberFormat="1" applyFont="1" applyFill="1" applyBorder="1" applyAlignment="1">
      <alignment horizontal="right" vertical="center"/>
    </xf>
    <xf numFmtId="167" fontId="51" fillId="0" borderId="92" xfId="5" applyNumberFormat="1" applyFont="1" applyFill="1" applyBorder="1" applyAlignment="1">
      <alignment horizontal="right" vertical="center"/>
    </xf>
    <xf numFmtId="167" fontId="51" fillId="0" borderId="41" xfId="5" applyNumberFormat="1" applyFont="1" applyFill="1" applyBorder="1" applyAlignment="1">
      <alignment horizontal="right" vertical="center"/>
    </xf>
    <xf numFmtId="167" fontId="38" fillId="0" borderId="0" xfId="0" applyNumberFormat="1" applyFont="1"/>
    <xf numFmtId="49" fontId="37" fillId="0" borderId="0" xfId="0" applyNumberFormat="1" applyFont="1" applyAlignment="1">
      <alignment vertical="center"/>
    </xf>
    <xf numFmtId="165" fontId="59" fillId="0" borderId="0" xfId="0" applyNumberFormat="1" applyFont="1" applyAlignment="1">
      <alignment vertical="center"/>
    </xf>
    <xf numFmtId="49" fontId="37" fillId="0" borderId="0" xfId="0" applyNumberFormat="1" applyFont="1"/>
    <xf numFmtId="0" fontId="37" fillId="0" borderId="46" xfId="0" applyFont="1" applyBorder="1" applyAlignment="1">
      <alignment vertical="center"/>
    </xf>
    <xf numFmtId="167" fontId="37" fillId="0" borderId="46" xfId="0" applyNumberFormat="1" applyFont="1" applyBorder="1" applyAlignment="1">
      <alignment vertical="center"/>
    </xf>
    <xf numFmtId="168" fontId="37" fillId="0" borderId="0" xfId="5" applyNumberFormat="1" applyFont="1" applyFill="1" applyAlignment="1">
      <alignment horizontal="center" vertical="center"/>
    </xf>
    <xf numFmtId="165" fontId="37" fillId="0" borderId="82" xfId="5" applyNumberFormat="1" applyFont="1" applyFill="1" applyBorder="1" applyAlignment="1">
      <alignment vertical="center"/>
    </xf>
    <xf numFmtId="165" fontId="37" fillId="0" borderId="0" xfId="5" applyNumberFormat="1" applyFont="1" applyFill="1" applyBorder="1" applyAlignment="1">
      <alignment vertical="center"/>
    </xf>
    <xf numFmtId="169" fontId="59" fillId="0" borderId="0" xfId="0" applyNumberFormat="1" applyFont="1" applyAlignment="1">
      <alignment horizontal="center" vertical="center"/>
    </xf>
    <xf numFmtId="0" fontId="67" fillId="0" borderId="0" xfId="0" applyFont="1"/>
    <xf numFmtId="165" fontId="64" fillId="0" borderId="30" xfId="0" applyNumberFormat="1" applyFont="1" applyBorder="1" applyAlignment="1">
      <alignment vertical="center"/>
    </xf>
    <xf numFmtId="165" fontId="56" fillId="0" borderId="0" xfId="0" applyNumberFormat="1" applyFont="1" applyAlignment="1">
      <alignment vertical="center"/>
    </xf>
    <xf numFmtId="0" fontId="68" fillId="0" borderId="30" xfId="0" applyFont="1" applyBorder="1" applyAlignment="1">
      <alignment vertical="center" wrapText="1"/>
    </xf>
    <xf numFmtId="165" fontId="38" fillId="0" borderId="30" xfId="0" applyNumberFormat="1" applyFont="1" applyBorder="1" applyAlignment="1">
      <alignment wrapText="1"/>
    </xf>
    <xf numFmtId="165" fontId="38" fillId="0" borderId="9" xfId="0" applyNumberFormat="1" applyFont="1" applyBorder="1"/>
    <xf numFmtId="165" fontId="38" fillId="0" borderId="74" xfId="0" applyNumberFormat="1" applyFont="1" applyBorder="1"/>
    <xf numFmtId="165" fontId="38" fillId="0" borderId="78" xfId="0" applyNumberFormat="1" applyFont="1" applyBorder="1"/>
    <xf numFmtId="165" fontId="47" fillId="0" borderId="30" xfId="0" applyNumberFormat="1" applyFont="1" applyBorder="1"/>
    <xf numFmtId="165" fontId="47" fillId="0" borderId="51" xfId="0" applyNumberFormat="1" applyFont="1" applyBorder="1"/>
    <xf numFmtId="0" fontId="38" fillId="0" borderId="29" xfId="0" applyFont="1" applyBorder="1"/>
    <xf numFmtId="165" fontId="38" fillId="0" borderId="0" xfId="0" applyNumberFormat="1" applyFont="1"/>
    <xf numFmtId="0" fontId="47" fillId="0" borderId="30" xfId="0" applyFont="1" applyBorder="1" applyAlignment="1">
      <alignment horizontal="center" vertical="center"/>
    </xf>
    <xf numFmtId="0" fontId="38" fillId="0" borderId="3" xfId="0" applyFont="1" applyBorder="1"/>
    <xf numFmtId="165" fontId="38" fillId="0" borderId="80" xfId="0" applyNumberFormat="1" applyFont="1" applyBorder="1"/>
    <xf numFmtId="165" fontId="38" fillId="0" borderId="67" xfId="0" applyNumberFormat="1" applyFont="1" applyBorder="1"/>
    <xf numFmtId="165" fontId="38" fillId="0" borderId="12" xfId="0" applyNumberFormat="1" applyFont="1" applyBorder="1"/>
    <xf numFmtId="165" fontId="47" fillId="0" borderId="68" xfId="0" applyNumberFormat="1" applyFont="1" applyBorder="1"/>
    <xf numFmtId="165" fontId="38" fillId="0" borderId="81" xfId="0" applyNumberFormat="1" applyFont="1" applyBorder="1"/>
    <xf numFmtId="165" fontId="38" fillId="0" borderId="82" xfId="0" applyNumberFormat="1" applyFont="1" applyBorder="1"/>
    <xf numFmtId="165" fontId="38" fillId="0" borderId="1" xfId="0" applyNumberFormat="1" applyFont="1" applyBorder="1"/>
    <xf numFmtId="165" fontId="47" fillId="0" borderId="56" xfId="0" applyNumberFormat="1" applyFont="1" applyBorder="1"/>
    <xf numFmtId="165" fontId="47" fillId="0" borderId="42" xfId="0" applyNumberFormat="1" applyFont="1" applyBorder="1"/>
    <xf numFmtId="165" fontId="38" fillId="0" borderId="76" xfId="0" applyNumberFormat="1" applyFont="1" applyBorder="1"/>
    <xf numFmtId="165" fontId="38" fillId="0" borderId="84" xfId="0" applyNumberFormat="1" applyFont="1" applyBorder="1"/>
    <xf numFmtId="165" fontId="38" fillId="0" borderId="2" xfId="0" applyNumberFormat="1" applyFont="1" applyBorder="1"/>
    <xf numFmtId="165" fontId="47" fillId="0" borderId="64" xfId="0" applyNumberFormat="1" applyFont="1" applyBorder="1"/>
    <xf numFmtId="165" fontId="48" fillId="0" borderId="30" xfId="0" applyNumberFormat="1" applyFont="1" applyBorder="1"/>
    <xf numFmtId="49" fontId="37" fillId="0" borderId="0" xfId="15" applyNumberFormat="1" applyFont="1" applyAlignment="1">
      <alignment wrapText="1"/>
    </xf>
    <xf numFmtId="1" fontId="37" fillId="0" borderId="73" xfId="0" applyNumberFormat="1" applyFont="1" applyBorder="1" applyAlignment="1">
      <alignment horizontal="center" vertical="center"/>
    </xf>
    <xf numFmtId="167" fontId="37" fillId="0" borderId="0" xfId="0" applyNumberFormat="1" applyFont="1"/>
    <xf numFmtId="165" fontId="69" fillId="0" borderId="0" xfId="0" applyNumberFormat="1" applyFont="1"/>
    <xf numFmtId="165" fontId="47" fillId="0" borderId="0" xfId="0" applyNumberFormat="1" applyFont="1"/>
    <xf numFmtId="0" fontId="59" fillId="0" borderId="30" xfId="0" applyFont="1" applyBorder="1" applyAlignment="1">
      <alignment wrapText="1"/>
    </xf>
    <xf numFmtId="165" fontId="59" fillId="0" borderId="31" xfId="0" applyNumberFormat="1" applyFont="1" applyBorder="1"/>
    <xf numFmtId="165" fontId="38" fillId="0" borderId="66" xfId="0" applyNumberFormat="1" applyFont="1" applyBorder="1"/>
    <xf numFmtId="0" fontId="38" fillId="0" borderId="10" xfId="0" applyFont="1" applyBorder="1"/>
    <xf numFmtId="0" fontId="47" fillId="0" borderId="3" xfId="0" applyFont="1" applyBorder="1"/>
    <xf numFmtId="0" fontId="38" fillId="0" borderId="70" xfId="0" applyFont="1" applyBorder="1" applyAlignment="1">
      <alignment horizontal="center" vertical="center"/>
    </xf>
    <xf numFmtId="0" fontId="38" fillId="0" borderId="69" xfId="0" applyFont="1" applyBorder="1" applyAlignment="1">
      <alignment horizontal="center" vertical="center"/>
    </xf>
    <xf numFmtId="0" fontId="38" fillId="0" borderId="36" xfId="0" applyFont="1" applyBorder="1" applyAlignment="1">
      <alignment horizontal="center" vertical="center"/>
    </xf>
    <xf numFmtId="0" fontId="38" fillId="0" borderId="76" xfId="0" applyFont="1" applyBorder="1" applyAlignment="1">
      <alignment horizontal="center" vertical="center"/>
    </xf>
    <xf numFmtId="165" fontId="65" fillId="0" borderId="0" xfId="0" applyNumberFormat="1" applyFont="1"/>
    <xf numFmtId="0" fontId="38" fillId="0" borderId="33" xfId="0" applyFont="1" applyBorder="1" applyAlignment="1">
      <alignment horizontal="center" vertical="center"/>
    </xf>
    <xf numFmtId="165" fontId="59" fillId="0" borderId="82" xfId="0" applyNumberFormat="1" applyFont="1" applyBorder="1"/>
    <xf numFmtId="0" fontId="38" fillId="0" borderId="81" xfId="0" applyFont="1" applyBorder="1" applyAlignment="1">
      <alignment horizontal="center" vertical="center"/>
    </xf>
    <xf numFmtId="0" fontId="38" fillId="0" borderId="75" xfId="0" applyFont="1" applyBorder="1" applyAlignment="1">
      <alignment horizontal="center" vertical="center"/>
    </xf>
    <xf numFmtId="0" fontId="38" fillId="0" borderId="80" xfId="0" applyFont="1" applyBorder="1" applyAlignment="1">
      <alignment horizontal="center" vertical="center"/>
    </xf>
    <xf numFmtId="0" fontId="47" fillId="0" borderId="80" xfId="0" applyFont="1" applyBorder="1" applyAlignment="1">
      <alignment horizontal="center" vertical="center"/>
    </xf>
    <xf numFmtId="0" fontId="38" fillId="0" borderId="67" xfId="0" applyFont="1" applyBorder="1"/>
    <xf numFmtId="0" fontId="47" fillId="0" borderId="12" xfId="0" applyFont="1" applyBorder="1"/>
    <xf numFmtId="0" fontId="47" fillId="0" borderId="31" xfId="0" applyFont="1" applyBorder="1" applyAlignment="1">
      <alignment wrapText="1"/>
    </xf>
    <xf numFmtId="0" fontId="47" fillId="0" borderId="0" xfId="0" applyFont="1" applyAlignment="1">
      <alignment wrapText="1"/>
    </xf>
    <xf numFmtId="0" fontId="38" fillId="0" borderId="31" xfId="0" applyFont="1" applyBorder="1" applyAlignment="1">
      <alignment horizontal="right"/>
    </xf>
    <xf numFmtId="0" fontId="38" fillId="0" borderId="16" xfId="0" applyFont="1" applyBorder="1"/>
    <xf numFmtId="165" fontId="38" fillId="0" borderId="71" xfId="0" applyNumberFormat="1" applyFont="1" applyBorder="1"/>
    <xf numFmtId="165" fontId="47" fillId="0" borderId="12" xfId="0" applyNumberFormat="1" applyFont="1" applyBorder="1"/>
    <xf numFmtId="165" fontId="38" fillId="0" borderId="73" xfId="0" applyNumberFormat="1" applyFont="1" applyBorder="1"/>
    <xf numFmtId="165" fontId="47" fillId="0" borderId="1" xfId="0" applyNumberFormat="1" applyFont="1" applyBorder="1"/>
    <xf numFmtId="165" fontId="38" fillId="0" borderId="77" xfId="0" applyNumberFormat="1" applyFont="1" applyBorder="1"/>
    <xf numFmtId="165" fontId="47" fillId="0" borderId="2" xfId="0" applyNumberFormat="1" applyFont="1" applyBorder="1"/>
    <xf numFmtId="165" fontId="48" fillId="0" borderId="51" xfId="0" applyNumberFormat="1" applyFont="1" applyBorder="1"/>
    <xf numFmtId="0" fontId="58" fillId="0" borderId="82" xfId="0" applyFont="1" applyBorder="1" applyAlignment="1">
      <alignment horizontal="center" vertical="center"/>
    </xf>
    <xf numFmtId="0" fontId="58" fillId="0" borderId="73" xfId="0" applyFont="1" applyBorder="1" applyAlignment="1">
      <alignment horizontal="center" vertical="center"/>
    </xf>
    <xf numFmtId="0" fontId="70" fillId="0" borderId="0" xfId="0" applyFont="1"/>
    <xf numFmtId="0" fontId="72" fillId="0" borderId="0" xfId="0" applyFont="1"/>
    <xf numFmtId="165" fontId="29" fillId="0" borderId="0" xfId="0" applyNumberFormat="1" applyFont="1" applyAlignment="1">
      <alignment horizontal="center"/>
    </xf>
    <xf numFmtId="0" fontId="0" fillId="0" borderId="0" xfId="0" applyAlignment="1">
      <alignment horizontal="right" vertical="top"/>
    </xf>
    <xf numFmtId="0" fontId="5" fillId="0" borderId="0" xfId="0" applyFont="1" applyAlignment="1">
      <alignment horizontal="right" vertical="top"/>
    </xf>
    <xf numFmtId="10" fontId="0" fillId="0" borderId="0" xfId="0" applyNumberFormat="1" applyAlignment="1">
      <alignment horizontal="right" vertical="top" wrapText="1"/>
    </xf>
    <xf numFmtId="44" fontId="0" fillId="0" borderId="0" xfId="0" applyNumberFormat="1" applyAlignment="1">
      <alignment horizontal="right" vertical="top" wrapText="1"/>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10" fillId="0" borderId="0" xfId="0" applyFont="1" applyAlignment="1">
      <alignment horizontal="left" vertical="top"/>
    </xf>
    <xf numFmtId="165" fontId="0" fillId="0" borderId="0" xfId="0" applyNumberFormat="1" applyAlignment="1">
      <alignment horizontal="right" vertical="top"/>
    </xf>
    <xf numFmtId="10" fontId="0" fillId="0" borderId="0" xfId="0" applyNumberFormat="1" applyAlignment="1">
      <alignment horizontal="right" vertical="top"/>
    </xf>
    <xf numFmtId="0" fontId="10" fillId="0" borderId="0" xfId="0" applyFont="1" applyAlignment="1">
      <alignment horizontal="left" vertical="top" wrapText="1"/>
    </xf>
    <xf numFmtId="10" fontId="10" fillId="0" borderId="0" xfId="0" applyNumberFormat="1" applyFont="1" applyAlignment="1">
      <alignment horizontal="left" vertical="top"/>
    </xf>
    <xf numFmtId="165" fontId="10" fillId="0" borderId="0" xfId="0" applyNumberFormat="1" applyFont="1" applyAlignment="1">
      <alignment horizontal="left" vertical="top"/>
    </xf>
    <xf numFmtId="49" fontId="30" fillId="0" borderId="0" xfId="1" applyNumberFormat="1" applyFont="1" applyAlignment="1">
      <alignment horizontal="left" vertical="center" wrapText="1"/>
    </xf>
    <xf numFmtId="49" fontId="34" fillId="0" borderId="0" xfId="1" applyNumberFormat="1" applyFont="1" applyAlignment="1">
      <alignment horizontal="left" vertical="center" wrapText="1"/>
    </xf>
    <xf numFmtId="10" fontId="30" fillId="0" borderId="0" xfId="1" applyNumberFormat="1" applyFont="1" applyAlignment="1" applyProtection="1">
      <alignment horizontal="center" vertical="center"/>
      <protection locked="0"/>
    </xf>
    <xf numFmtId="0" fontId="30" fillId="0" borderId="26" xfId="0" applyFont="1" applyBorder="1" applyAlignment="1">
      <alignment wrapText="1"/>
    </xf>
    <xf numFmtId="170" fontId="30" fillId="0" borderId="0" xfId="0" applyNumberFormat="1" applyFont="1"/>
    <xf numFmtId="0" fontId="28" fillId="0" borderId="0" xfId="0" applyFont="1" applyProtection="1">
      <protection locked="0"/>
    </xf>
    <xf numFmtId="0" fontId="30" fillId="0" borderId="0" xfId="0" applyFont="1" applyAlignment="1">
      <alignment horizontal="left"/>
    </xf>
    <xf numFmtId="49" fontId="30" fillId="0" borderId="30" xfId="0" applyNumberFormat="1" applyFont="1" applyBorder="1" applyAlignment="1">
      <alignment horizontal="center" vertical="center" wrapText="1"/>
    </xf>
    <xf numFmtId="0" fontId="30" fillId="0" borderId="30" xfId="0" applyFont="1" applyBorder="1" applyAlignment="1">
      <alignment wrapText="1"/>
    </xf>
    <xf numFmtId="10" fontId="30" fillId="0" borderId="0" xfId="0" applyNumberFormat="1" applyFont="1" applyAlignment="1">
      <alignment vertical="center"/>
    </xf>
    <xf numFmtId="0" fontId="30" fillId="0" borderId="30" xfId="0" applyFont="1" applyBorder="1"/>
    <xf numFmtId="0" fontId="30" fillId="0" borderId="30" xfId="0" applyFont="1" applyBorder="1" applyAlignment="1">
      <alignment horizontal="center" vertical="center"/>
    </xf>
    <xf numFmtId="10" fontId="30" fillId="0" borderId="0" xfId="0" applyNumberFormat="1" applyFont="1" applyAlignment="1">
      <alignment horizontal="center" vertical="center"/>
    </xf>
    <xf numFmtId="0" fontId="30" fillId="0" borderId="0" xfId="0" applyFont="1" applyAlignment="1">
      <alignment horizontal="center" vertical="center"/>
    </xf>
    <xf numFmtId="165" fontId="30" fillId="0" borderId="0" xfId="0" applyNumberFormat="1" applyFont="1" applyAlignment="1">
      <alignment wrapText="1"/>
    </xf>
    <xf numFmtId="0" fontId="34" fillId="0" borderId="0" xfId="0" applyFont="1" applyAlignment="1">
      <alignment horizontal="left" vertical="center" wrapText="1"/>
    </xf>
    <xf numFmtId="166" fontId="30" fillId="0" borderId="0" xfId="0" applyNumberFormat="1" applyFont="1" applyAlignment="1">
      <alignment horizontal="right"/>
    </xf>
    <xf numFmtId="0" fontId="34" fillId="0" borderId="0" xfId="0" applyFont="1" applyAlignment="1">
      <alignment horizontal="left"/>
    </xf>
    <xf numFmtId="166" fontId="30" fillId="0" borderId="0" xfId="0" applyNumberFormat="1" applyFont="1" applyAlignment="1">
      <alignment horizontal="center"/>
    </xf>
    <xf numFmtId="165" fontId="30" fillId="0" borderId="0" xfId="1" applyNumberFormat="1" applyFont="1" applyAlignment="1">
      <alignment vertical="center"/>
    </xf>
    <xf numFmtId="3" fontId="29" fillId="0" borderId="0" xfId="0" applyNumberFormat="1" applyFont="1"/>
    <xf numFmtId="49" fontId="29" fillId="0" borderId="0" xfId="0" applyNumberFormat="1" applyFont="1" applyAlignment="1">
      <alignment horizontal="right"/>
    </xf>
    <xf numFmtId="165" fontId="29" fillId="0" borderId="0" xfId="0" applyNumberFormat="1" applyFont="1" applyAlignment="1">
      <alignment wrapText="1"/>
    </xf>
    <xf numFmtId="0" fontId="29" fillId="0" borderId="0" xfId="0" applyFont="1" applyAlignment="1">
      <alignment horizontal="right"/>
    </xf>
    <xf numFmtId="165" fontId="48" fillId="0" borderId="0" xfId="0" applyNumberFormat="1" applyFont="1" applyAlignment="1">
      <alignment horizontal="left"/>
    </xf>
    <xf numFmtId="0" fontId="36" fillId="0" borderId="0" xfId="0" applyFont="1" applyAlignment="1">
      <alignment horizontal="left"/>
    </xf>
    <xf numFmtId="165" fontId="36" fillId="0" borderId="0" xfId="0" applyNumberFormat="1" applyFont="1" applyAlignment="1">
      <alignment wrapText="1"/>
    </xf>
    <xf numFmtId="3" fontId="36" fillId="0" borderId="0" xfId="0" applyNumberFormat="1" applyFont="1"/>
    <xf numFmtId="0" fontId="28" fillId="4" borderId="82" xfId="0" applyFont="1" applyFill="1" applyBorder="1" applyAlignment="1">
      <alignment horizontal="center" vertical="center"/>
    </xf>
    <xf numFmtId="0" fontId="28" fillId="4" borderId="7" xfId="0" applyFont="1" applyFill="1" applyBorder="1" applyAlignment="1">
      <alignment horizontal="center" vertical="center"/>
    </xf>
    <xf numFmtId="165" fontId="30" fillId="0" borderId="53" xfId="0" applyNumberFormat="1" applyFont="1" applyBorder="1" applyAlignment="1" applyProtection="1">
      <alignment horizontal="center" vertical="center"/>
      <protection locked="0"/>
    </xf>
    <xf numFmtId="165" fontId="30" fillId="0" borderId="44" xfId="0" applyNumberFormat="1" applyFont="1" applyBorder="1" applyAlignment="1" applyProtection="1">
      <alignment horizontal="center" vertical="center"/>
      <protection locked="0"/>
    </xf>
    <xf numFmtId="49" fontId="28" fillId="2" borderId="87" xfId="0" applyNumberFormat="1" applyFont="1" applyFill="1" applyBorder="1" applyAlignment="1">
      <alignment horizontal="center" vertical="top" wrapText="1"/>
    </xf>
    <xf numFmtId="49" fontId="28" fillId="2" borderId="26" xfId="0" applyNumberFormat="1" applyFont="1" applyFill="1" applyBorder="1" applyAlignment="1">
      <alignment horizontal="center" vertical="top" wrapText="1"/>
    </xf>
    <xf numFmtId="49" fontId="28" fillId="2" borderId="88" xfId="0" applyNumberFormat="1" applyFont="1" applyFill="1" applyBorder="1" applyAlignment="1">
      <alignment horizontal="center" vertical="top" wrapText="1"/>
    </xf>
    <xf numFmtId="0" fontId="30" fillId="0" borderId="0" xfId="0" applyFont="1" applyFill="1"/>
    <xf numFmtId="0" fontId="28" fillId="0" borderId="0" xfId="0" applyFont="1" applyFill="1"/>
    <xf numFmtId="0" fontId="29" fillId="0" borderId="0" xfId="0" applyFont="1" applyFill="1"/>
    <xf numFmtId="0" fontId="36" fillId="0" borderId="0" xfId="0" applyFont="1" applyFill="1"/>
    <xf numFmtId="0" fontId="28" fillId="4" borderId="7" xfId="0" applyFont="1" applyFill="1" applyBorder="1" applyAlignment="1">
      <alignment vertical="center"/>
    </xf>
    <xf numFmtId="49" fontId="28" fillId="4" borderId="87" xfId="0" applyNumberFormat="1" applyFont="1" applyFill="1" applyBorder="1" applyAlignment="1">
      <alignment vertical="top" wrapText="1"/>
    </xf>
    <xf numFmtId="49" fontId="28" fillId="4" borderId="26" xfId="0" applyNumberFormat="1" applyFont="1" applyFill="1" applyBorder="1" applyAlignment="1">
      <alignment vertical="top" wrapText="1"/>
    </xf>
    <xf numFmtId="49" fontId="28" fillId="4" borderId="88" xfId="0" applyNumberFormat="1" applyFont="1" applyFill="1" applyBorder="1" applyAlignment="1">
      <alignment vertical="top" wrapText="1"/>
    </xf>
    <xf numFmtId="0" fontId="31" fillId="0" borderId="66" xfId="0" applyFont="1" applyFill="1" applyBorder="1"/>
    <xf numFmtId="0" fontId="28" fillId="0" borderId="62" xfId="0" applyFont="1" applyFill="1" applyBorder="1"/>
    <xf numFmtId="10" fontId="28" fillId="0" borderId="10" xfId="0" applyNumberFormat="1" applyFont="1" applyFill="1" applyBorder="1"/>
    <xf numFmtId="10" fontId="30" fillId="0" borderId="30" xfId="0" applyNumberFormat="1" applyFont="1" applyFill="1" applyBorder="1"/>
    <xf numFmtId="0" fontId="30" fillId="0" borderId="30" xfId="0" applyFont="1" applyFill="1" applyBorder="1" applyAlignment="1">
      <alignment horizontal="center" vertical="center"/>
    </xf>
    <xf numFmtId="165" fontId="75" fillId="0" borderId="0" xfId="0" applyNumberFormat="1" applyFont="1" applyAlignment="1">
      <alignment horizontal="center" vertical="center"/>
    </xf>
    <xf numFmtId="165" fontId="30" fillId="0" borderId="0" xfId="0" applyNumberFormat="1" applyFont="1" applyAlignment="1">
      <alignment horizontal="right"/>
    </xf>
    <xf numFmtId="165" fontId="30" fillId="0" borderId="41" xfId="0" applyNumberFormat="1" applyFont="1" applyBorder="1" applyAlignment="1">
      <alignment horizontal="right"/>
    </xf>
    <xf numFmtId="165" fontId="76" fillId="39" borderId="0" xfId="0" applyNumberFormat="1" applyFont="1" applyFill="1"/>
    <xf numFmtId="165" fontId="77" fillId="43" borderId="0" xfId="1" applyNumberFormat="1" applyFont="1" applyFill="1" applyAlignment="1">
      <alignment horizontal="center" vertical="center"/>
    </xf>
    <xf numFmtId="0" fontId="30" fillId="0" borderId="28" xfId="0" applyFont="1" applyBorder="1"/>
    <xf numFmtId="165" fontId="30" fillId="0" borderId="29" xfId="0" applyNumberFormat="1" applyFont="1" applyBorder="1" applyAlignment="1">
      <alignment horizontal="right"/>
    </xf>
    <xf numFmtId="165" fontId="30" fillId="0" borderId="40" xfId="0" applyNumberFormat="1" applyFont="1" applyBorder="1" applyAlignment="1">
      <alignment horizontal="right"/>
    </xf>
    <xf numFmtId="165" fontId="34" fillId="0" borderId="87" xfId="0" applyNumberFormat="1" applyFont="1" applyBorder="1" applyAlignment="1">
      <alignment horizontal="right"/>
    </xf>
    <xf numFmtId="165" fontId="34" fillId="0" borderId="26" xfId="0" applyNumberFormat="1" applyFont="1" applyBorder="1" applyAlignment="1">
      <alignment horizontal="right"/>
    </xf>
    <xf numFmtId="0" fontId="36" fillId="0" borderId="0" xfId="0" applyFont="1" applyFill="1" applyAlignment="1">
      <alignment horizontal="left"/>
    </xf>
    <xf numFmtId="165" fontId="30" fillId="0" borderId="0" xfId="0" applyNumberFormat="1" applyFont="1" applyAlignment="1">
      <alignment horizontal="center"/>
    </xf>
    <xf numFmtId="165" fontId="30" fillId="0" borderId="41" xfId="0" applyNumberFormat="1" applyFont="1" applyBorder="1" applyAlignment="1">
      <alignment horizontal="center"/>
    </xf>
    <xf numFmtId="0" fontId="30" fillId="0" borderId="40" xfId="0" applyFont="1" applyBorder="1"/>
    <xf numFmtId="165" fontId="30" fillId="0" borderId="26" xfId="0" applyNumberFormat="1" applyFont="1" applyBorder="1" applyAlignment="1">
      <alignment horizontal="center"/>
    </xf>
    <xf numFmtId="165" fontId="30" fillId="0" borderId="44" xfId="0" applyNumberFormat="1" applyFont="1" applyBorder="1" applyAlignment="1">
      <alignment horizontal="center"/>
    </xf>
    <xf numFmtId="0" fontId="30" fillId="0" borderId="26" xfId="0" applyFont="1" applyBorder="1"/>
    <xf numFmtId="0" fontId="30" fillId="0" borderId="44" xfId="0" applyFont="1" applyBorder="1"/>
    <xf numFmtId="165" fontId="34" fillId="0" borderId="29" xfId="0" applyNumberFormat="1" applyFont="1" applyBorder="1" applyAlignment="1">
      <alignment horizontal="center"/>
    </xf>
    <xf numFmtId="165" fontId="34" fillId="0" borderId="40" xfId="0" applyNumberFormat="1" applyFont="1" applyBorder="1" applyAlignment="1">
      <alignment horizontal="center"/>
    </xf>
    <xf numFmtId="0" fontId="50" fillId="39" borderId="0" xfId="0" applyFont="1" applyFill="1" applyAlignment="1">
      <alignment horizontal="left" vertical="top" wrapText="1"/>
    </xf>
    <xf numFmtId="0" fontId="30" fillId="0" borderId="0" xfId="0" applyFont="1" applyAlignment="1">
      <alignment horizontal="right"/>
    </xf>
    <xf numFmtId="0" fontId="30" fillId="36" borderId="0" xfId="0" applyFont="1" applyFill="1" applyAlignment="1" applyProtection="1">
      <alignment horizontal="left" vertical="top" wrapText="1"/>
      <protection locked="0"/>
    </xf>
    <xf numFmtId="0" fontId="30" fillId="41" borderId="0" xfId="0" applyFont="1" applyFill="1" applyAlignment="1">
      <alignment horizontal="right"/>
    </xf>
    <xf numFmtId="0" fontId="30" fillId="0" borderId="0" xfId="0" applyFont="1" applyAlignment="1">
      <alignment horizontal="right" vertical="top" wrapText="1"/>
    </xf>
    <xf numFmtId="0" fontId="34" fillId="0" borderId="0" xfId="0" applyFont="1" applyAlignment="1">
      <alignment horizontal="left" vertical="top" wrapText="1"/>
    </xf>
    <xf numFmtId="0" fontId="30" fillId="0" borderId="0" xfId="0" applyFont="1" applyAlignment="1">
      <alignment horizontal="center" vertical="top" wrapText="1"/>
    </xf>
    <xf numFmtId="0" fontId="35" fillId="2" borderId="0" xfId="0" applyFont="1" applyFill="1" applyAlignment="1">
      <alignment horizontal="left"/>
    </xf>
    <xf numFmtId="0" fontId="55" fillId="0" borderId="0" xfId="0" applyFont="1" applyAlignment="1">
      <alignment horizontal="center"/>
    </xf>
    <xf numFmtId="165" fontId="29" fillId="0" borderId="0" xfId="0" applyNumberFormat="1" applyFont="1" applyAlignment="1">
      <alignment horizontal="center"/>
    </xf>
    <xf numFmtId="14" fontId="28" fillId="0" borderId="0" xfId="0" applyNumberFormat="1" applyFont="1" applyAlignment="1">
      <alignment horizontal="center"/>
    </xf>
    <xf numFmtId="0" fontId="28" fillId="0" borderId="31" xfId="0" applyFont="1" applyBorder="1" applyAlignment="1">
      <alignment horizontal="right"/>
    </xf>
    <xf numFmtId="0" fontId="28" fillId="0" borderId="0" xfId="0" applyFont="1" applyAlignment="1">
      <alignment horizontal="right"/>
    </xf>
    <xf numFmtId="0" fontId="28" fillId="0" borderId="41" xfId="0" applyFont="1" applyBorder="1" applyAlignment="1">
      <alignment horizontal="right"/>
    </xf>
    <xf numFmtId="165" fontId="30" fillId="0" borderId="0" xfId="0" applyNumberFormat="1" applyFont="1" applyAlignment="1">
      <alignment horizontal="center"/>
    </xf>
    <xf numFmtId="165" fontId="30" fillId="0" borderId="41" xfId="0" applyNumberFormat="1" applyFont="1" applyBorder="1" applyAlignment="1">
      <alignment horizontal="center"/>
    </xf>
    <xf numFmtId="0" fontId="28" fillId="0" borderId="31" xfId="0" applyFont="1" applyBorder="1" applyAlignment="1">
      <alignment horizontal="right" wrapText="1"/>
    </xf>
    <xf numFmtId="0" fontId="28" fillId="0" borderId="0" xfId="0" applyFont="1" applyAlignment="1">
      <alignment horizontal="right" wrapText="1"/>
    </xf>
    <xf numFmtId="0" fontId="28" fillId="0" borderId="41" xfId="0" applyFont="1" applyBorder="1" applyAlignment="1">
      <alignment horizontal="right" wrapText="1"/>
    </xf>
    <xf numFmtId="0" fontId="28" fillId="0" borderId="87" xfId="0" applyFont="1" applyBorder="1" applyAlignment="1">
      <alignment horizontal="right" wrapText="1"/>
    </xf>
    <xf numFmtId="0" fontId="28" fillId="0" borderId="26" xfId="0" applyFont="1" applyBorder="1" applyAlignment="1">
      <alignment horizontal="right" wrapText="1"/>
    </xf>
    <xf numFmtId="0" fontId="28" fillId="0" borderId="44" xfId="0" applyFont="1" applyBorder="1" applyAlignment="1">
      <alignment horizontal="right" wrapText="1"/>
    </xf>
    <xf numFmtId="0" fontId="28" fillId="0" borderId="28" xfId="0" applyFont="1" applyBorder="1" applyAlignment="1">
      <alignment horizontal="right"/>
    </xf>
    <xf numFmtId="0" fontId="28" fillId="0" borderId="29" xfId="0" applyFont="1" applyBorder="1" applyAlignment="1">
      <alignment horizontal="right"/>
    </xf>
    <xf numFmtId="0" fontId="28" fillId="0" borderId="40" xfId="0" applyFont="1" applyBorder="1" applyAlignment="1">
      <alignment horizontal="right"/>
    </xf>
    <xf numFmtId="165" fontId="30" fillId="0" borderId="29" xfId="0" applyNumberFormat="1" applyFont="1" applyBorder="1" applyAlignment="1">
      <alignment horizontal="center"/>
    </xf>
    <xf numFmtId="165" fontId="30" fillId="0" borderId="40" xfId="0" applyNumberFormat="1" applyFont="1" applyBorder="1" applyAlignment="1">
      <alignment horizontal="center"/>
    </xf>
    <xf numFmtId="165" fontId="30" fillId="0" borderId="26" xfId="0" applyNumberFormat="1" applyFont="1" applyBorder="1" applyAlignment="1">
      <alignment horizontal="center"/>
    </xf>
    <xf numFmtId="165" fontId="30" fillId="0" borderId="44" xfId="0" applyNumberFormat="1" applyFont="1" applyBorder="1" applyAlignment="1">
      <alignment horizontal="center"/>
    </xf>
    <xf numFmtId="0" fontId="39" fillId="0" borderId="0" xfId="0" applyFont="1" applyAlignment="1">
      <alignment horizontal="left" vertical="top" wrapText="1"/>
    </xf>
    <xf numFmtId="14" fontId="28" fillId="38" borderId="34" xfId="0" applyNumberFormat="1" applyFont="1" applyFill="1" applyBorder="1" applyAlignment="1">
      <alignment horizontal="center"/>
    </xf>
    <xf numFmtId="14" fontId="28" fillId="38" borderId="85" xfId="0" applyNumberFormat="1" applyFont="1" applyFill="1" applyBorder="1" applyAlignment="1">
      <alignment horizontal="center"/>
    </xf>
    <xf numFmtId="165" fontId="30" fillId="0" borderId="67" xfId="0" applyNumberFormat="1" applyFont="1" applyBorder="1" applyAlignment="1">
      <alignment horizontal="center"/>
    </xf>
    <xf numFmtId="170" fontId="30" fillId="0" borderId="0" xfId="0" applyNumberFormat="1" applyFont="1" applyAlignment="1">
      <alignment horizontal="left"/>
    </xf>
    <xf numFmtId="0" fontId="27" fillId="0" borderId="31" xfId="0" applyFont="1" applyBorder="1" applyAlignment="1">
      <alignment horizontal="right" wrapText="1"/>
    </xf>
    <xf numFmtId="0" fontId="27" fillId="0" borderId="0" xfId="0" applyFont="1" applyAlignment="1">
      <alignment horizontal="right" wrapText="1"/>
    </xf>
    <xf numFmtId="0" fontId="27" fillId="0" borderId="41" xfId="0" applyFont="1" applyBorder="1" applyAlignment="1">
      <alignment horizontal="right" wrapText="1"/>
    </xf>
    <xf numFmtId="170" fontId="28" fillId="38" borderId="0" xfId="0" applyNumberFormat="1" applyFont="1" applyFill="1" applyAlignment="1">
      <alignment horizontal="left"/>
    </xf>
    <xf numFmtId="2" fontId="30" fillId="36" borderId="0" xfId="1" applyNumberFormat="1" applyFont="1" applyFill="1" applyAlignment="1" applyProtection="1">
      <protection locked="0"/>
    </xf>
    <xf numFmtId="165" fontId="32" fillId="3" borderId="29" xfId="0" applyNumberFormat="1" applyFont="1" applyFill="1" applyBorder="1" applyAlignment="1">
      <alignment horizontal="center" vertical="center"/>
    </xf>
    <xf numFmtId="165" fontId="32" fillId="3" borderId="40" xfId="0" applyNumberFormat="1" applyFont="1" applyFill="1" applyBorder="1" applyAlignment="1">
      <alignment horizontal="center" vertical="center"/>
    </xf>
    <xf numFmtId="165" fontId="32" fillId="3" borderId="26" xfId="0" applyNumberFormat="1" applyFont="1" applyFill="1" applyBorder="1" applyAlignment="1">
      <alignment horizontal="center" vertical="center"/>
    </xf>
    <xf numFmtId="165" fontId="32" fillId="3" borderId="44" xfId="0" applyNumberFormat="1" applyFont="1" applyFill="1" applyBorder="1" applyAlignment="1">
      <alignment horizontal="center" vertical="center"/>
    </xf>
    <xf numFmtId="165" fontId="34" fillId="0" borderId="62" xfId="0" applyNumberFormat="1" applyFont="1" applyBorder="1" applyAlignment="1">
      <alignment horizontal="center"/>
    </xf>
    <xf numFmtId="165" fontId="34" fillId="0" borderId="65" xfId="0" applyNumberFormat="1" applyFont="1" applyBorder="1" applyAlignment="1">
      <alignment horizontal="center"/>
    </xf>
    <xf numFmtId="0" fontId="28" fillId="0" borderId="0" xfId="0" applyFont="1" applyFill="1" applyAlignment="1">
      <alignment horizontal="left" wrapText="1"/>
    </xf>
    <xf numFmtId="0" fontId="28" fillId="36" borderId="0" xfId="0" applyFont="1" applyFill="1" applyAlignment="1" applyProtection="1">
      <alignment horizontal="left"/>
      <protection locked="0"/>
    </xf>
    <xf numFmtId="0" fontId="28" fillId="0" borderId="0" xfId="0" applyFont="1" applyAlignment="1" applyProtection="1">
      <alignment horizontal="left"/>
      <protection locked="0"/>
    </xf>
    <xf numFmtId="0" fontId="27" fillId="0" borderId="67" xfId="0" applyFont="1" applyBorder="1" applyAlignment="1">
      <alignment horizontal="center" vertical="top" wrapText="1"/>
    </xf>
    <xf numFmtId="0" fontId="27" fillId="0" borderId="12" xfId="0" applyFont="1" applyBorder="1" applyAlignment="1">
      <alignment horizontal="center" vertical="top" wrapText="1"/>
    </xf>
    <xf numFmtId="0" fontId="27" fillId="0" borderId="84" xfId="0" applyFont="1" applyBorder="1" applyAlignment="1">
      <alignment horizontal="center" vertical="top" wrapText="1"/>
    </xf>
    <xf numFmtId="0" fontId="27" fillId="0" borderId="2" xfId="0" applyFont="1" applyBorder="1" applyAlignment="1">
      <alignment horizontal="center"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Fill="1" applyAlignment="1">
      <alignment horizontal="left" vertical="top" wrapText="1"/>
    </xf>
    <xf numFmtId="0" fontId="30" fillId="0" borderId="0" xfId="0" applyFont="1" applyAlignment="1">
      <alignment horizontal="left"/>
    </xf>
    <xf numFmtId="170" fontId="30" fillId="0" borderId="0" xfId="0" applyNumberFormat="1" applyFont="1" applyAlignment="1">
      <alignment horizontal="center"/>
    </xf>
    <xf numFmtId="0" fontId="27" fillId="3" borderId="28"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7" fillId="3" borderId="87"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0" borderId="79" xfId="0" applyFont="1" applyBorder="1" applyAlignment="1">
      <alignment horizontal="right" wrapText="1"/>
    </xf>
    <xf numFmtId="0" fontId="27" fillId="0" borderId="62" xfId="0" applyFont="1" applyBorder="1" applyAlignment="1">
      <alignment horizontal="right" wrapText="1"/>
    </xf>
    <xf numFmtId="0" fontId="27" fillId="0" borderId="65" xfId="0" applyFont="1" applyBorder="1" applyAlignment="1">
      <alignment horizontal="right" wrapText="1"/>
    </xf>
    <xf numFmtId="0" fontId="27" fillId="0" borderId="84" xfId="0" applyFont="1" applyBorder="1" applyAlignment="1">
      <alignment horizontal="center" wrapText="1"/>
    </xf>
    <xf numFmtId="0" fontId="27" fillId="0" borderId="84" xfId="0" applyFont="1" applyBorder="1" applyAlignment="1">
      <alignment horizontal="center" vertical="center"/>
    </xf>
    <xf numFmtId="0" fontId="27" fillId="0" borderId="67" xfId="0" applyFont="1" applyBorder="1" applyAlignment="1">
      <alignment horizontal="center" wrapText="1"/>
    </xf>
    <xf numFmtId="0" fontId="73" fillId="0" borderId="0" xfId="0" applyFont="1" applyAlignment="1">
      <alignment horizontal="center" wrapText="1"/>
    </xf>
    <xf numFmtId="0" fontId="29" fillId="0" borderId="0" xfId="0" applyFont="1" applyAlignment="1">
      <alignment horizontal="center" vertical="top" wrapText="1"/>
    </xf>
    <xf numFmtId="14" fontId="29" fillId="0" borderId="0" xfId="0" applyNumberFormat="1" applyFont="1" applyAlignment="1">
      <alignment horizontal="center"/>
    </xf>
    <xf numFmtId="14" fontId="30" fillId="38" borderId="34" xfId="0" applyNumberFormat="1" applyFont="1" applyFill="1" applyBorder="1" applyAlignment="1">
      <alignment horizontal="center"/>
    </xf>
    <xf numFmtId="14" fontId="30" fillId="38" borderId="85" xfId="0" applyNumberFormat="1" applyFont="1" applyFill="1" applyBorder="1" applyAlignment="1">
      <alignment horizontal="center"/>
    </xf>
    <xf numFmtId="0" fontId="27" fillId="0" borderId="28"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44" xfId="0" applyFont="1" applyBorder="1" applyAlignment="1">
      <alignment horizontal="center" vertical="center" wrapText="1"/>
    </xf>
    <xf numFmtId="0" fontId="55" fillId="0" borderId="0" xfId="0" applyFont="1" applyAlignment="1"/>
    <xf numFmtId="49" fontId="27" fillId="0" borderId="48" xfId="0" applyNumberFormat="1" applyFont="1" applyBorder="1" applyAlignment="1">
      <alignment horizontal="right" vertical="center" textRotation="90"/>
    </xf>
    <xf numFmtId="49" fontId="27" fillId="0" borderId="51" xfId="0" applyNumberFormat="1" applyFont="1" applyBorder="1" applyAlignment="1">
      <alignment horizontal="right" vertical="center" textRotation="90"/>
    </xf>
    <xf numFmtId="49" fontId="34" fillId="0" borderId="43" xfId="0" applyNumberFormat="1" applyFont="1" applyBorder="1" applyAlignment="1">
      <alignment horizontal="right" vertical="center" textRotation="90"/>
    </xf>
    <xf numFmtId="49" fontId="34" fillId="0" borderId="48" xfId="0" applyNumberFormat="1" applyFont="1" applyBorder="1" applyAlignment="1">
      <alignment horizontal="right" vertical="center" textRotation="90"/>
    </xf>
    <xf numFmtId="0" fontId="28" fillId="0" borderId="28" xfId="0" applyFont="1" applyBorder="1" applyAlignment="1">
      <alignment horizontal="left" vertical="top" wrapText="1"/>
    </xf>
    <xf numFmtId="0" fontId="28" fillId="0" borderId="29" xfId="0" applyFont="1" applyBorder="1" applyAlignment="1">
      <alignment horizontal="left" vertical="top" wrapText="1"/>
    </xf>
    <xf numFmtId="0" fontId="28" fillId="0" borderId="55" xfId="0" applyFont="1" applyBorder="1" applyAlignment="1">
      <alignment horizontal="left" vertical="top" wrapText="1"/>
    </xf>
    <xf numFmtId="0" fontId="28" fillId="0" borderId="31" xfId="0" applyFont="1" applyBorder="1" applyAlignment="1">
      <alignment horizontal="left" vertical="top" wrapText="1"/>
    </xf>
    <xf numFmtId="0" fontId="28" fillId="0" borderId="50" xfId="0" applyFont="1" applyBorder="1" applyAlignment="1">
      <alignment horizontal="left" vertical="top" wrapText="1"/>
    </xf>
    <xf numFmtId="0" fontId="28" fillId="0" borderId="33" xfId="0" applyFont="1" applyBorder="1" applyAlignment="1">
      <alignment horizontal="left" vertical="top" wrapText="1"/>
    </xf>
    <xf numFmtId="0" fontId="28" fillId="0" borderId="27" xfId="0" applyFont="1" applyBorder="1" applyAlignment="1">
      <alignment horizontal="left" vertical="top" wrapText="1"/>
    </xf>
    <xf numFmtId="0" fontId="28" fillId="0" borderId="85" xfId="0" applyFont="1" applyBorder="1" applyAlignment="1">
      <alignment horizontal="left" vertical="top" wrapText="1"/>
    </xf>
    <xf numFmtId="0" fontId="28" fillId="0" borderId="70" xfId="0" applyFont="1" applyBorder="1" applyAlignment="1">
      <alignment horizontal="left" vertical="center" wrapText="1"/>
    </xf>
    <xf numFmtId="0" fontId="28" fillId="0" borderId="63" xfId="0" applyFont="1" applyBorder="1" applyAlignment="1">
      <alignment horizontal="left" vertical="center" wrapText="1"/>
    </xf>
    <xf numFmtId="0" fontId="28" fillId="0" borderId="71" xfId="0" applyFont="1" applyBorder="1" applyAlignment="1">
      <alignment horizontal="left" vertical="center" wrapText="1"/>
    </xf>
    <xf numFmtId="0" fontId="28" fillId="0" borderId="69" xfId="0" applyFont="1" applyBorder="1" applyAlignment="1">
      <alignment horizontal="left" vertical="center" wrapText="1"/>
    </xf>
    <xf numFmtId="0" fontId="28" fillId="0" borderId="45" xfId="0" applyFont="1" applyBorder="1" applyAlignment="1">
      <alignment horizontal="left" vertical="center" wrapText="1"/>
    </xf>
    <xf numFmtId="0" fontId="28" fillId="0" borderId="73" xfId="0" applyFont="1" applyBorder="1" applyAlignment="1">
      <alignment horizontal="left" vertical="center" wrapText="1"/>
    </xf>
    <xf numFmtId="49" fontId="27" fillId="0" borderId="41" xfId="0" applyNumberFormat="1" applyFont="1" applyBorder="1" applyAlignment="1">
      <alignment horizontal="right" vertical="center"/>
    </xf>
    <xf numFmtId="0" fontId="28" fillId="0" borderId="81" xfId="0" applyFont="1" applyBorder="1" applyAlignment="1">
      <alignment horizontal="left" vertical="center" wrapText="1"/>
    </xf>
    <xf numFmtId="0" fontId="28" fillId="0" borderId="82" xfId="0" applyFont="1" applyBorder="1" applyAlignment="1">
      <alignment horizontal="left" vertical="center" wrapText="1"/>
    </xf>
    <xf numFmtId="0" fontId="28" fillId="0" borderId="36" xfId="0" applyFont="1" applyBorder="1" applyAlignment="1">
      <alignment vertical="top" wrapText="1"/>
    </xf>
    <xf numFmtId="0" fontId="28" fillId="0" borderId="37" xfId="0" applyFont="1" applyBorder="1" applyAlignment="1">
      <alignment vertical="top" wrapText="1"/>
    </xf>
    <xf numFmtId="0" fontId="28" fillId="0" borderId="86" xfId="0" applyFont="1" applyBorder="1" applyAlignment="1">
      <alignment vertical="top" wrapText="1"/>
    </xf>
    <xf numFmtId="0" fontId="28" fillId="0" borderId="31" xfId="0" applyFont="1" applyBorder="1" applyAlignment="1">
      <alignment vertical="top" wrapText="1"/>
    </xf>
    <xf numFmtId="0" fontId="28" fillId="0" borderId="0" xfId="0" applyFont="1" applyAlignment="1">
      <alignment vertical="top" wrapText="1"/>
    </xf>
    <xf numFmtId="0" fontId="28" fillId="0" borderId="50" xfId="0" applyFont="1" applyBorder="1" applyAlignment="1">
      <alignment vertical="top" wrapText="1"/>
    </xf>
    <xf numFmtId="0" fontId="28" fillId="0" borderId="33" xfId="0" applyFont="1" applyBorder="1" applyAlignment="1">
      <alignment vertical="top" wrapText="1"/>
    </xf>
    <xf numFmtId="0" fontId="28" fillId="0" borderId="27" xfId="0" applyFont="1" applyBorder="1" applyAlignment="1">
      <alignment vertical="top" wrapText="1"/>
    </xf>
    <xf numFmtId="0" fontId="28" fillId="0" borderId="85" xfId="0" applyFont="1" applyBorder="1" applyAlignment="1">
      <alignment vertical="top" wrapText="1"/>
    </xf>
    <xf numFmtId="0" fontId="27" fillId="0" borderId="79" xfId="0" applyFont="1" applyBorder="1" applyAlignment="1">
      <alignment horizontal="left"/>
    </xf>
    <xf numFmtId="0" fontId="27" fillId="0" borderId="62" xfId="0" applyFont="1" applyBorder="1" applyAlignment="1">
      <alignment horizontal="left"/>
    </xf>
    <xf numFmtId="0" fontId="27" fillId="0" borderId="66" xfId="0" applyFont="1" applyBorder="1" applyAlignment="1">
      <alignment horizontal="left"/>
    </xf>
    <xf numFmtId="10" fontId="28" fillId="0" borderId="79" xfId="0" applyNumberFormat="1" applyFont="1" applyBorder="1" applyAlignment="1">
      <alignment horizontal="center"/>
    </xf>
    <xf numFmtId="10" fontId="28" fillId="0" borderId="62" xfId="0" applyNumberFormat="1" applyFont="1" applyBorder="1" applyAlignment="1">
      <alignment horizontal="center"/>
    </xf>
    <xf numFmtId="10" fontId="30" fillId="0" borderId="10" xfId="0" applyNumberFormat="1" applyFont="1" applyBorder="1" applyAlignment="1">
      <alignment horizontal="center"/>
    </xf>
    <xf numFmtId="10" fontId="30" fillId="0" borderId="3" xfId="0" applyNumberFormat="1" applyFont="1" applyBorder="1" applyAlignment="1">
      <alignment horizontal="center"/>
    </xf>
    <xf numFmtId="0" fontId="28" fillId="4" borderId="67" xfId="0" applyFont="1" applyFill="1" applyBorder="1" applyAlignment="1">
      <alignment horizontal="center" vertical="center"/>
    </xf>
    <xf numFmtId="0" fontId="28" fillId="4" borderId="82" xfId="0" applyFont="1" applyFill="1" applyBorder="1" applyAlignment="1">
      <alignment horizontal="center" vertical="center"/>
    </xf>
    <xf numFmtId="49" fontId="30" fillId="2" borderId="80" xfId="0" applyNumberFormat="1" applyFont="1" applyFill="1" applyBorder="1" applyAlignment="1">
      <alignment horizontal="left" vertical="top" wrapText="1"/>
    </xf>
    <xf numFmtId="49" fontId="30" fillId="2" borderId="67" xfId="0" applyNumberFormat="1" applyFont="1" applyFill="1" applyBorder="1" applyAlignment="1">
      <alignment horizontal="left" vertical="top" wrapText="1"/>
    </xf>
    <xf numFmtId="49" fontId="30" fillId="2" borderId="81" xfId="0" applyNumberFormat="1" applyFont="1" applyFill="1" applyBorder="1" applyAlignment="1">
      <alignment horizontal="left" vertical="top" wrapText="1"/>
    </xf>
    <xf numFmtId="49" fontId="30" fillId="2" borderId="82" xfId="0" applyNumberFormat="1" applyFont="1" applyFill="1" applyBorder="1" applyAlignment="1">
      <alignment horizontal="left" vertical="top" wrapText="1"/>
    </xf>
    <xf numFmtId="165" fontId="30" fillId="0" borderId="67" xfId="0" applyNumberFormat="1" applyFont="1" applyBorder="1" applyAlignment="1" applyProtection="1">
      <alignment horizontal="center" vertical="center"/>
      <protection locked="0"/>
    </xf>
    <xf numFmtId="165" fontId="30" fillId="0" borderId="12" xfId="0" applyNumberFormat="1" applyFont="1" applyBorder="1" applyAlignment="1" applyProtection="1">
      <alignment horizontal="center" vertical="center"/>
      <protection locked="0"/>
    </xf>
    <xf numFmtId="165" fontId="30" fillId="0" borderId="82" xfId="0" applyNumberFormat="1" applyFont="1" applyBorder="1" applyAlignment="1" applyProtection="1">
      <alignment horizontal="center" vertical="center"/>
      <protection locked="0"/>
    </xf>
    <xf numFmtId="165" fontId="30" fillId="0" borderId="1" xfId="0" applyNumberFormat="1" applyFont="1" applyBorder="1" applyAlignment="1" applyProtection="1">
      <alignment horizontal="center" vertical="center"/>
      <protection locked="0"/>
    </xf>
    <xf numFmtId="49" fontId="28" fillId="2" borderId="81" xfId="0" applyNumberFormat="1" applyFont="1" applyFill="1" applyBorder="1" applyAlignment="1">
      <alignment horizontal="left" vertical="top" wrapText="1"/>
    </xf>
    <xf numFmtId="49" fontId="28" fillId="2" borderId="82" xfId="0" applyNumberFormat="1" applyFont="1" applyFill="1" applyBorder="1" applyAlignment="1">
      <alignment horizontal="left" vertical="top" wrapText="1"/>
    </xf>
    <xf numFmtId="10" fontId="30" fillId="0" borderId="10" xfId="0" applyNumberFormat="1" applyFont="1" applyFill="1" applyBorder="1" applyAlignment="1">
      <alignment horizontal="center"/>
    </xf>
    <xf numFmtId="10" fontId="30" fillId="0" borderId="3" xfId="0" applyNumberFormat="1" applyFont="1" applyFill="1" applyBorder="1" applyAlignment="1">
      <alignment horizontal="center"/>
    </xf>
    <xf numFmtId="165" fontId="31" fillId="0" borderId="10" xfId="0" applyNumberFormat="1" applyFont="1" applyBorder="1" applyAlignment="1">
      <alignment horizontal="center" vertical="center" wrapText="1"/>
    </xf>
    <xf numFmtId="165" fontId="34" fillId="0" borderId="10" xfId="0" applyNumberFormat="1" applyFont="1" applyBorder="1" applyAlignment="1">
      <alignment horizontal="center" vertical="center" wrapText="1"/>
    </xf>
    <xf numFmtId="165" fontId="34" fillId="0" borderId="3" xfId="0" applyNumberFormat="1" applyFont="1" applyBorder="1" applyAlignment="1">
      <alignment horizontal="center" vertical="center" wrapText="1"/>
    </xf>
    <xf numFmtId="165" fontId="28" fillId="0" borderId="13" xfId="0" applyNumberFormat="1" applyFont="1" applyBorder="1" applyAlignment="1">
      <alignment horizontal="center" vertical="center" wrapText="1"/>
    </xf>
    <xf numFmtId="165" fontId="28" fillId="0" borderId="16" xfId="0" applyNumberFormat="1" applyFont="1" applyBorder="1" applyAlignment="1">
      <alignment horizontal="center" vertical="center" wrapText="1"/>
    </xf>
    <xf numFmtId="165" fontId="28" fillId="0" borderId="14" xfId="0" applyNumberFormat="1" applyFont="1" applyBorder="1" applyAlignment="1">
      <alignment horizontal="center" vertical="center" wrapText="1"/>
    </xf>
    <xf numFmtId="165" fontId="28" fillId="0" borderId="15" xfId="0" applyNumberFormat="1" applyFont="1" applyBorder="1" applyAlignment="1">
      <alignment horizontal="center" vertical="center" wrapText="1"/>
    </xf>
    <xf numFmtId="165" fontId="30" fillId="0" borderId="47" xfId="0" applyNumberFormat="1" applyFont="1" applyBorder="1" applyAlignment="1" applyProtection="1">
      <alignment horizontal="center" vertical="center"/>
      <protection locked="0"/>
    </xf>
    <xf numFmtId="165" fontId="30" fillId="0" borderId="41" xfId="0" applyNumberFormat="1" applyFont="1" applyBorder="1" applyAlignment="1" applyProtection="1">
      <alignment horizontal="center" vertical="center"/>
      <protection locked="0"/>
    </xf>
    <xf numFmtId="165" fontId="30" fillId="0" borderId="34" xfId="0" applyNumberFormat="1" applyFont="1" applyBorder="1" applyAlignment="1" applyProtection="1">
      <alignment horizontal="center" vertical="center"/>
      <protection locked="0"/>
    </xf>
    <xf numFmtId="165" fontId="30" fillId="0" borderId="35" xfId="0" applyNumberFormat="1" applyFont="1" applyBorder="1" applyAlignment="1" applyProtection="1">
      <alignment horizontal="center" vertical="center"/>
      <protection locked="0"/>
    </xf>
    <xf numFmtId="0" fontId="28" fillId="4" borderId="46" xfId="0" applyFont="1" applyFill="1" applyBorder="1" applyAlignment="1">
      <alignment horizontal="center" vertical="center"/>
    </xf>
    <xf numFmtId="0" fontId="28" fillId="4" borderId="6" xfId="0" applyFont="1" applyFill="1" applyBorder="1" applyAlignment="1">
      <alignment horizontal="center" vertical="center"/>
    </xf>
    <xf numFmtId="165" fontId="27" fillId="0" borderId="79" xfId="0" applyNumberFormat="1" applyFont="1" applyBorder="1" applyAlignment="1">
      <alignment horizontal="center" vertical="center"/>
    </xf>
    <xf numFmtId="165" fontId="27" fillId="0" borderId="62" xfId="0" applyNumberFormat="1" applyFont="1" applyBorder="1" applyAlignment="1">
      <alignment horizontal="center" vertical="center"/>
    </xf>
    <xf numFmtId="165" fontId="27" fillId="0" borderId="66" xfId="0" applyNumberFormat="1" applyFont="1" applyBorder="1" applyAlignment="1">
      <alignment horizontal="center" vertical="center"/>
    </xf>
    <xf numFmtId="0" fontId="30" fillId="0" borderId="58" xfId="0" applyFont="1" applyBorder="1" applyAlignment="1">
      <alignment horizontal="center" wrapText="1"/>
    </xf>
    <xf numFmtId="0" fontId="30" fillId="0" borderId="65" xfId="0" applyFont="1" applyBorder="1" applyAlignment="1">
      <alignment horizontal="center" wrapText="1"/>
    </xf>
    <xf numFmtId="165" fontId="30" fillId="0" borderId="60" xfId="0" applyNumberFormat="1" applyFont="1" applyBorder="1" applyAlignment="1" applyProtection="1">
      <alignment horizontal="center" vertical="center"/>
      <protection locked="0"/>
    </xf>
    <xf numFmtId="165" fontId="30" fillId="0" borderId="56" xfId="0" applyNumberFormat="1" applyFont="1" applyBorder="1" applyAlignment="1" applyProtection="1">
      <alignment horizontal="center" vertical="center"/>
      <protection locked="0"/>
    </xf>
    <xf numFmtId="0" fontId="30" fillId="0" borderId="43" xfId="0" applyFont="1" applyBorder="1" applyAlignment="1">
      <alignment horizontal="center" vertical="center"/>
    </xf>
    <xf numFmtId="0" fontId="30" fillId="0" borderId="48" xfId="0" applyFont="1" applyBorder="1" applyAlignment="1">
      <alignment horizontal="center" vertical="center"/>
    </xf>
    <xf numFmtId="0" fontId="30" fillId="0" borderId="51" xfId="0" applyFont="1" applyBorder="1" applyAlignment="1">
      <alignment horizontal="center" vertical="center"/>
    </xf>
    <xf numFmtId="0" fontId="30" fillId="0" borderId="30" xfId="0" applyFont="1" applyBorder="1" applyAlignment="1">
      <alignment horizontal="center" vertical="center"/>
    </xf>
    <xf numFmtId="0" fontId="34" fillId="2" borderId="30" xfId="0" applyFont="1" applyFill="1" applyBorder="1" applyAlignment="1">
      <alignment horizontal="center" vertical="center"/>
    </xf>
    <xf numFmtId="0" fontId="34" fillId="2" borderId="43" xfId="0" applyFont="1" applyFill="1" applyBorder="1" applyAlignment="1">
      <alignment horizontal="center" vertical="center"/>
    </xf>
    <xf numFmtId="0" fontId="34" fillId="2" borderId="48"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14" xfId="0" applyFont="1" applyFill="1" applyBorder="1" applyAlignment="1">
      <alignment horizontal="center" vertical="center"/>
    </xf>
    <xf numFmtId="165" fontId="30" fillId="0" borderId="39" xfId="0" applyNumberFormat="1" applyFont="1" applyBorder="1" applyAlignment="1" applyProtection="1">
      <alignment horizontal="center" vertical="center"/>
      <protection locked="0"/>
    </xf>
    <xf numFmtId="165" fontId="30" fillId="0" borderId="42" xfId="0" applyNumberFormat="1" applyFont="1" applyBorder="1" applyAlignment="1" applyProtection="1">
      <alignment horizontal="center" vertical="center"/>
      <protection locked="0"/>
    </xf>
    <xf numFmtId="49" fontId="28" fillId="2" borderId="80" xfId="0" applyNumberFormat="1" applyFont="1" applyFill="1" applyBorder="1" applyAlignment="1">
      <alignment horizontal="left" vertical="top" wrapText="1"/>
    </xf>
    <xf numFmtId="49" fontId="28" fillId="2" borderId="67" xfId="0" applyNumberFormat="1" applyFont="1" applyFill="1" applyBorder="1" applyAlignment="1">
      <alignment horizontal="left" vertical="top" wrapText="1"/>
    </xf>
    <xf numFmtId="49" fontId="28" fillId="2" borderId="83" xfId="0" applyNumberFormat="1" applyFont="1" applyFill="1" applyBorder="1" applyAlignment="1">
      <alignment horizontal="left" vertical="top" wrapText="1"/>
    </xf>
    <xf numFmtId="49" fontId="28" fillId="2" borderId="46" xfId="0" applyNumberFormat="1" applyFont="1" applyFill="1" applyBorder="1" applyAlignment="1">
      <alignment horizontal="left" vertical="top" wrapText="1"/>
    </xf>
    <xf numFmtId="49" fontId="28" fillId="2" borderId="28" xfId="0" applyNumberFormat="1" applyFont="1" applyFill="1" applyBorder="1" applyAlignment="1">
      <alignment horizontal="left" vertical="top" wrapText="1"/>
    </xf>
    <xf numFmtId="49" fontId="28" fillId="2" borderId="29" xfId="0" applyNumberFormat="1" applyFont="1" applyFill="1" applyBorder="1" applyAlignment="1">
      <alignment horizontal="left" vertical="top" wrapText="1"/>
    </xf>
    <xf numFmtId="49" fontId="28" fillId="2" borderId="55" xfId="0" applyNumberFormat="1" applyFont="1" applyFill="1" applyBorder="1" applyAlignment="1">
      <alignment horizontal="left" vertical="top" wrapText="1"/>
    </xf>
    <xf numFmtId="49" fontId="28" fillId="2" borderId="31"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49" fontId="28" fillId="2" borderId="50" xfId="0" applyNumberFormat="1" applyFont="1" applyFill="1" applyBorder="1" applyAlignment="1">
      <alignment horizontal="left" vertical="top" wrapText="1"/>
    </xf>
    <xf numFmtId="49" fontId="28" fillId="2" borderId="33" xfId="0" applyNumberFormat="1" applyFont="1" applyFill="1" applyBorder="1" applyAlignment="1">
      <alignment horizontal="left" vertical="top" wrapText="1"/>
    </xf>
    <xf numFmtId="49" fontId="28" fillId="2" borderId="27" xfId="0" applyNumberFormat="1" applyFont="1" applyFill="1" applyBorder="1" applyAlignment="1">
      <alignment horizontal="left" vertical="top" wrapText="1"/>
    </xf>
    <xf numFmtId="49" fontId="28" fillId="2" borderId="85" xfId="0" applyNumberFormat="1" applyFont="1" applyFill="1" applyBorder="1" applyAlignment="1">
      <alignment horizontal="left" vertical="top" wrapText="1"/>
    </xf>
    <xf numFmtId="49" fontId="30" fillId="0" borderId="30" xfId="0" applyNumberFormat="1" applyFont="1" applyBorder="1" applyAlignment="1">
      <alignment horizontal="center" vertical="center" wrapText="1"/>
    </xf>
    <xf numFmtId="0" fontId="34" fillId="2" borderId="51" xfId="0" applyFont="1" applyFill="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4" xfId="0" applyFont="1" applyBorder="1" applyAlignment="1">
      <alignment horizontal="center" vertical="center"/>
    </xf>
    <xf numFmtId="165" fontId="27" fillId="0" borderId="28" xfId="0" applyNumberFormat="1" applyFont="1" applyBorder="1" applyAlignment="1">
      <alignment horizontal="center" vertical="center"/>
    </xf>
    <xf numFmtId="165" fontId="27" fillId="0" borderId="29" xfId="0" applyNumberFormat="1" applyFont="1" applyBorder="1" applyAlignment="1">
      <alignment horizontal="center" vertical="center"/>
    </xf>
    <xf numFmtId="165" fontId="27" fillId="0" borderId="40" xfId="0" applyNumberFormat="1" applyFont="1" applyBorder="1" applyAlignment="1">
      <alignment horizontal="center" vertical="center"/>
    </xf>
    <xf numFmtId="165" fontId="27" fillId="0" borderId="31" xfId="0" applyNumberFormat="1" applyFont="1" applyBorder="1" applyAlignment="1">
      <alignment horizontal="center" vertical="center"/>
    </xf>
    <xf numFmtId="165" fontId="27" fillId="0" borderId="0" xfId="0" applyNumberFormat="1" applyFont="1" applyAlignment="1">
      <alignment horizontal="center" vertical="center"/>
    </xf>
    <xf numFmtId="165" fontId="27" fillId="0" borderId="41" xfId="0" applyNumberFormat="1" applyFont="1" applyBorder="1" applyAlignment="1">
      <alignment horizontal="center" vertical="center"/>
    </xf>
    <xf numFmtId="165" fontId="27" fillId="0" borderId="87" xfId="0" applyNumberFormat="1" applyFont="1" applyBorder="1" applyAlignment="1">
      <alignment horizontal="center" vertical="center"/>
    </xf>
    <xf numFmtId="165" fontId="27" fillId="0" borderId="26" xfId="0" applyNumberFormat="1" applyFont="1" applyBorder="1" applyAlignment="1">
      <alignment horizontal="center" vertical="center"/>
    </xf>
    <xf numFmtId="165" fontId="27" fillId="0" borderId="44" xfId="0" applyNumberFormat="1" applyFont="1" applyBorder="1" applyAlignment="1">
      <alignment horizontal="center" vertical="center"/>
    </xf>
    <xf numFmtId="165" fontId="28" fillId="0" borderId="79" xfId="0" applyNumberFormat="1" applyFont="1" applyBorder="1" applyAlignment="1">
      <alignment horizontal="center" vertical="center"/>
    </xf>
    <xf numFmtId="165" fontId="28" fillId="0" borderId="62" xfId="0" applyNumberFormat="1" applyFont="1" applyBorder="1" applyAlignment="1">
      <alignment horizontal="center" vertical="center"/>
    </xf>
    <xf numFmtId="49" fontId="28" fillId="4" borderId="80" xfId="0" applyNumberFormat="1" applyFont="1" applyFill="1" applyBorder="1" applyAlignment="1">
      <alignment horizontal="left" vertical="top" wrapText="1"/>
    </xf>
    <xf numFmtId="49" fontId="28" fillId="4" borderId="67" xfId="0" applyNumberFormat="1" applyFont="1" applyFill="1" applyBorder="1" applyAlignment="1">
      <alignment horizontal="left" vertical="top" wrapText="1"/>
    </xf>
    <xf numFmtId="10" fontId="28" fillId="0" borderId="54" xfId="0" applyNumberFormat="1" applyFont="1" applyBorder="1" applyAlignment="1">
      <alignment horizontal="center" vertical="center" wrapText="1"/>
    </xf>
    <xf numFmtId="10" fontId="28" fillId="0" borderId="49" xfId="0" applyNumberFormat="1" applyFont="1" applyBorder="1" applyAlignment="1">
      <alignment horizontal="center" vertical="center" wrapText="1"/>
    </xf>
    <xf numFmtId="10" fontId="28" fillId="0" borderId="52" xfId="0" applyNumberFormat="1" applyFont="1" applyBorder="1" applyAlignment="1">
      <alignment horizontal="center" vertical="center" wrapText="1"/>
    </xf>
    <xf numFmtId="165" fontId="28" fillId="0" borderId="7" xfId="0" applyNumberFormat="1" applyFont="1" applyBorder="1" applyAlignment="1">
      <alignment horizontal="center" vertical="center" wrapText="1"/>
    </xf>
    <xf numFmtId="165" fontId="28" fillId="0" borderId="8" xfId="0" applyNumberFormat="1" applyFont="1" applyBorder="1" applyAlignment="1">
      <alignment horizontal="center" vertical="center" wrapText="1"/>
    </xf>
    <xf numFmtId="9" fontId="28" fillId="2" borderId="60" xfId="0" applyNumberFormat="1" applyFont="1" applyFill="1" applyBorder="1" applyAlignment="1">
      <alignment horizontal="center" vertical="center"/>
    </xf>
    <xf numFmtId="165" fontId="28" fillId="0" borderId="65" xfId="0" applyNumberFormat="1" applyFont="1" applyBorder="1" applyAlignment="1">
      <alignment horizontal="center" vertical="center"/>
    </xf>
    <xf numFmtId="165" fontId="35" fillId="3" borderId="29" xfId="0" applyNumberFormat="1" applyFont="1" applyFill="1" applyBorder="1" applyAlignment="1">
      <alignment horizontal="center" vertical="center"/>
    </xf>
    <xf numFmtId="165" fontId="35" fillId="3" borderId="40" xfId="0" applyNumberFormat="1" applyFont="1" applyFill="1" applyBorder="1" applyAlignment="1">
      <alignment horizontal="center" vertical="center"/>
    </xf>
    <xf numFmtId="165" fontId="35" fillId="3" borderId="26" xfId="0" applyNumberFormat="1" applyFont="1" applyFill="1" applyBorder="1" applyAlignment="1">
      <alignment horizontal="center" vertical="center"/>
    </xf>
    <xf numFmtId="165" fontId="35" fillId="3" borderId="44" xfId="0" applyNumberFormat="1" applyFont="1" applyFill="1" applyBorder="1" applyAlignment="1">
      <alignment horizontal="center" vertical="center"/>
    </xf>
    <xf numFmtId="165" fontId="28" fillId="0" borderId="29" xfId="0" applyNumberFormat="1" applyFont="1" applyBorder="1" applyAlignment="1">
      <alignment horizontal="center"/>
    </xf>
    <xf numFmtId="165" fontId="28" fillId="0" borderId="40" xfId="0" applyNumberFormat="1" applyFont="1" applyBorder="1" applyAlignment="1">
      <alignment horizontal="center"/>
    </xf>
    <xf numFmtId="0" fontId="28" fillId="0" borderId="87" xfId="0" applyFont="1" applyBorder="1" applyAlignment="1">
      <alignment horizontal="right" vertical="top" wrapText="1"/>
    </xf>
    <xf numFmtId="0" fontId="28" fillId="0" borderId="26" xfId="0" applyFont="1" applyBorder="1" applyAlignment="1">
      <alignment horizontal="right" vertical="top" wrapText="1"/>
    </xf>
    <xf numFmtId="0" fontId="28" fillId="0" borderId="44" xfId="0" applyFont="1" applyBorder="1" applyAlignment="1">
      <alignment horizontal="right" vertical="top" wrapText="1"/>
    </xf>
    <xf numFmtId="165" fontId="28" fillId="0" borderId="0" xfId="0" applyNumberFormat="1" applyFont="1" applyAlignment="1">
      <alignment horizontal="center"/>
    </xf>
    <xf numFmtId="165" fontId="28" fillId="0" borderId="41" xfId="0" applyNumberFormat="1" applyFont="1" applyBorder="1" applyAlignment="1">
      <alignment horizontal="center"/>
    </xf>
    <xf numFmtId="0" fontId="28" fillId="0" borderId="87" xfId="0" applyFont="1" applyBorder="1" applyAlignment="1">
      <alignment horizontal="center"/>
    </xf>
    <xf numFmtId="0" fontId="28" fillId="0" borderId="26" xfId="0" applyFont="1" applyBorder="1" applyAlignment="1">
      <alignment horizontal="center"/>
    </xf>
    <xf numFmtId="0" fontId="28" fillId="0" borderId="44" xfId="0" applyFont="1" applyBorder="1" applyAlignment="1">
      <alignment horizontal="center"/>
    </xf>
    <xf numFmtId="165" fontId="27" fillId="0" borderId="62" xfId="0" applyNumberFormat="1" applyFont="1" applyBorder="1" applyAlignment="1">
      <alignment horizontal="center"/>
    </xf>
    <xf numFmtId="165" fontId="27" fillId="0" borderId="65" xfId="0" applyNumberFormat="1" applyFont="1" applyBorder="1" applyAlignment="1">
      <alignment horizontal="center"/>
    </xf>
    <xf numFmtId="165" fontId="28" fillId="0" borderId="26" xfId="0" applyNumberFormat="1" applyFont="1" applyBorder="1" applyAlignment="1">
      <alignment horizontal="center"/>
    </xf>
    <xf numFmtId="165" fontId="28" fillId="0" borderId="44" xfId="0" applyNumberFormat="1" applyFont="1" applyBorder="1" applyAlignment="1">
      <alignment horizontal="center"/>
    </xf>
    <xf numFmtId="9" fontId="28" fillId="2" borderId="61" xfId="0" applyNumberFormat="1" applyFont="1" applyFill="1" applyBorder="1" applyAlignment="1">
      <alignment horizontal="center" vertical="center"/>
    </xf>
    <xf numFmtId="0" fontId="28" fillId="0" borderId="0" xfId="0" applyFont="1" applyAlignment="1">
      <alignment horizontal="left" vertical="center" wrapText="1"/>
    </xf>
    <xf numFmtId="0" fontId="27" fillId="0" borderId="0" xfId="0" applyFont="1" applyAlignment="1">
      <alignment horizontal="left" vertical="center" wrapText="1"/>
    </xf>
    <xf numFmtId="10" fontId="27" fillId="0" borderId="28" xfId="0" applyNumberFormat="1" applyFont="1" applyBorder="1" applyAlignment="1">
      <alignment horizontal="center" vertical="center" wrapText="1"/>
    </xf>
    <xf numFmtId="10" fontId="27" fillId="0" borderId="87" xfId="0" applyNumberFormat="1" applyFont="1" applyBorder="1" applyAlignment="1">
      <alignment horizontal="center" vertical="center" wrapText="1"/>
    </xf>
    <xf numFmtId="165" fontId="31" fillId="0" borderId="43" xfId="0" applyNumberFormat="1" applyFont="1" applyBorder="1" applyAlignment="1">
      <alignment horizontal="center" vertical="center" wrapText="1"/>
    </xf>
    <xf numFmtId="165" fontId="31" fillId="0" borderId="54" xfId="0" applyNumberFormat="1" applyFont="1" applyBorder="1" applyAlignment="1">
      <alignment horizontal="center" vertical="center" wrapText="1"/>
    </xf>
    <xf numFmtId="165" fontId="31" fillId="0" borderId="51" xfId="0" applyNumberFormat="1" applyFont="1" applyBorder="1" applyAlignment="1">
      <alignment horizontal="center" vertical="center" wrapText="1"/>
    </xf>
    <xf numFmtId="165" fontId="31" fillId="0" borderId="52" xfId="0" applyNumberFormat="1" applyFont="1" applyBorder="1" applyAlignment="1">
      <alignment horizontal="center" vertical="center" wrapText="1"/>
    </xf>
    <xf numFmtId="165" fontId="34" fillId="0" borderId="32" xfId="0" applyNumberFormat="1" applyFont="1" applyBorder="1" applyAlignment="1">
      <alignment horizontal="center" vertical="center" wrapText="1"/>
    </xf>
    <xf numFmtId="165" fontId="34" fillId="0" borderId="40" xfId="0" applyNumberFormat="1" applyFont="1" applyBorder="1" applyAlignment="1">
      <alignment horizontal="center" vertical="center" wrapText="1"/>
    </xf>
    <xf numFmtId="165" fontId="34" fillId="0" borderId="53" xfId="0" applyNumberFormat="1" applyFont="1" applyBorder="1" applyAlignment="1">
      <alignment horizontal="center" vertical="center" wrapText="1"/>
    </xf>
    <xf numFmtId="165" fontId="34" fillId="0" borderId="44" xfId="0" applyNumberFormat="1" applyFont="1" applyBorder="1" applyAlignment="1">
      <alignment horizontal="center" vertical="center" wrapText="1"/>
    </xf>
    <xf numFmtId="0" fontId="28" fillId="0" borderId="13" xfId="0" applyFont="1" applyBorder="1" applyAlignment="1">
      <alignment horizontal="center"/>
    </xf>
    <xf numFmtId="0" fontId="28" fillId="0" borderId="7" xfId="0" applyFont="1" applyBorder="1" applyAlignment="1">
      <alignment horizontal="center"/>
    </xf>
    <xf numFmtId="9" fontId="28" fillId="2" borderId="11" xfId="0" applyNumberFormat="1" applyFont="1" applyFill="1" applyBorder="1" applyAlignment="1">
      <alignment horizontal="center" vertical="center"/>
    </xf>
    <xf numFmtId="9" fontId="28" fillId="2" borderId="15" xfId="0" applyNumberFormat="1" applyFont="1" applyFill="1" applyBorder="1" applyAlignment="1">
      <alignment horizontal="center" vertical="center"/>
    </xf>
    <xf numFmtId="9" fontId="28" fillId="2" borderId="1" xfId="0" applyNumberFormat="1" applyFont="1" applyFill="1" applyBorder="1" applyAlignment="1">
      <alignment horizontal="center" vertical="center"/>
    </xf>
    <xf numFmtId="0" fontId="30" fillId="0" borderId="43" xfId="0" applyFont="1" applyBorder="1" applyAlignment="1">
      <alignment horizontal="center" wrapText="1"/>
    </xf>
    <xf numFmtId="0" fontId="30" fillId="0" borderId="48" xfId="0" applyFont="1" applyBorder="1" applyAlignment="1">
      <alignment horizontal="center" wrapText="1"/>
    </xf>
    <xf numFmtId="0" fontId="30" fillId="0" borderId="51" xfId="0" applyFont="1" applyBorder="1" applyAlignment="1">
      <alignment horizontal="center" wrapText="1"/>
    </xf>
    <xf numFmtId="10" fontId="30" fillId="0" borderId="43" xfId="0" applyNumberFormat="1" applyFont="1" applyBorder="1" applyAlignment="1">
      <alignment horizontal="center" vertical="center" wrapText="1"/>
    </xf>
    <xf numFmtId="10" fontId="30" fillId="0" borderId="48" xfId="0" applyNumberFormat="1" applyFont="1" applyBorder="1" applyAlignment="1">
      <alignment horizontal="center" vertical="center" wrapText="1"/>
    </xf>
    <xf numFmtId="10" fontId="30" fillId="0" borderId="51" xfId="0" applyNumberFormat="1" applyFont="1" applyBorder="1" applyAlignment="1">
      <alignment horizontal="center" vertical="center" wrapText="1"/>
    </xf>
    <xf numFmtId="0" fontId="30" fillId="0" borderId="32" xfId="0" applyFont="1" applyBorder="1" applyAlignment="1">
      <alignment horizontal="center" wrapText="1"/>
    </xf>
    <xf numFmtId="0" fontId="30" fillId="0" borderId="40" xfId="0" applyFont="1" applyBorder="1" applyAlignment="1">
      <alignment horizontal="center" wrapText="1"/>
    </xf>
    <xf numFmtId="0" fontId="30" fillId="0" borderId="47" xfId="0" applyFont="1" applyBorder="1" applyAlignment="1">
      <alignment horizontal="center" wrapText="1"/>
    </xf>
    <xf numFmtId="0" fontId="30" fillId="0" borderId="41" xfId="0" applyFont="1" applyBorder="1" applyAlignment="1">
      <alignment horizontal="center" wrapText="1"/>
    </xf>
    <xf numFmtId="0" fontId="30" fillId="0" borderId="53" xfId="0" applyFont="1" applyBorder="1" applyAlignment="1">
      <alignment horizontal="center" wrapText="1"/>
    </xf>
    <xf numFmtId="0" fontId="30" fillId="0" borderId="44" xfId="0" applyFont="1" applyBorder="1" applyAlignment="1">
      <alignment horizontal="center" wrapText="1"/>
    </xf>
    <xf numFmtId="165" fontId="30" fillId="0" borderId="58" xfId="0" applyNumberFormat="1" applyFont="1" applyBorder="1" applyAlignment="1">
      <alignment horizontal="center"/>
    </xf>
    <xf numFmtId="165" fontId="30" fillId="0" borderId="65" xfId="0" applyNumberFormat="1" applyFont="1" applyBorder="1" applyAlignment="1">
      <alignment horizontal="center"/>
    </xf>
    <xf numFmtId="165" fontId="31" fillId="0" borderId="28" xfId="0" applyNumberFormat="1" applyFont="1" applyBorder="1" applyAlignment="1">
      <alignment horizontal="center" vertical="center" wrapText="1"/>
    </xf>
    <xf numFmtId="165" fontId="31" fillId="0" borderId="29" xfId="0" applyNumberFormat="1" applyFont="1" applyBorder="1" applyAlignment="1">
      <alignment horizontal="center" vertical="center" wrapText="1"/>
    </xf>
    <xf numFmtId="165" fontId="31" fillId="0" borderId="31" xfId="0" applyNumberFormat="1" applyFont="1" applyBorder="1" applyAlignment="1">
      <alignment horizontal="center" vertical="center" wrapText="1"/>
    </xf>
    <xf numFmtId="165" fontId="31" fillId="0" borderId="0" xfId="0" applyNumberFormat="1" applyFont="1" applyAlignment="1">
      <alignment horizontal="center" vertical="center" wrapText="1"/>
    </xf>
    <xf numFmtId="165" fontId="31" fillId="0" borderId="87" xfId="0" applyNumberFormat="1" applyFont="1" applyBorder="1" applyAlignment="1">
      <alignment horizontal="center" vertical="center" wrapText="1"/>
    </xf>
    <xf numFmtId="165" fontId="31" fillId="0" borderId="26" xfId="0" applyNumberFormat="1" applyFont="1" applyBorder="1" applyAlignment="1">
      <alignment horizontal="center" vertical="center" wrapText="1"/>
    </xf>
    <xf numFmtId="14" fontId="28" fillId="2" borderId="58" xfId="0" applyNumberFormat="1" applyFont="1" applyFill="1" applyBorder="1" applyAlignment="1">
      <alignment horizontal="center" vertical="center" wrapText="1"/>
    </xf>
    <xf numFmtId="14" fontId="28" fillId="2" borderId="65" xfId="0" applyNumberFormat="1" applyFont="1" applyFill="1" applyBorder="1" applyAlignment="1">
      <alignment horizontal="center" vertical="center" wrapText="1"/>
    </xf>
    <xf numFmtId="165" fontId="30" fillId="0" borderId="0" xfId="0" applyNumberFormat="1" applyFont="1" applyAlignment="1">
      <alignment horizontal="right"/>
    </xf>
    <xf numFmtId="165" fontId="30" fillId="0" borderId="41" xfId="0" applyNumberFormat="1" applyFont="1" applyBorder="1" applyAlignment="1">
      <alignment horizontal="right"/>
    </xf>
    <xf numFmtId="165" fontId="30" fillId="0" borderId="26" xfId="0" applyNumberFormat="1" applyFont="1" applyBorder="1" applyAlignment="1">
      <alignment horizontal="right"/>
    </xf>
    <xf numFmtId="165" fontId="30" fillId="0" borderId="44" xfId="0" applyNumberFormat="1" applyFont="1" applyBorder="1" applyAlignment="1">
      <alignment horizontal="right"/>
    </xf>
    <xf numFmtId="165" fontId="28" fillId="0" borderId="75" xfId="0" applyNumberFormat="1" applyFont="1" applyBorder="1" applyAlignment="1">
      <alignment horizontal="center"/>
    </xf>
    <xf numFmtId="165" fontId="28" fillId="0" borderId="77" xfId="0" applyNumberFormat="1" applyFont="1" applyBorder="1" applyAlignment="1">
      <alignment horizontal="center"/>
    </xf>
    <xf numFmtId="165" fontId="28" fillId="2" borderId="84" xfId="0" applyNumberFormat="1" applyFont="1" applyFill="1" applyBorder="1" applyAlignment="1">
      <alignment horizontal="center"/>
    </xf>
    <xf numFmtId="165" fontId="28" fillId="2" borderId="2" xfId="0" applyNumberFormat="1" applyFont="1" applyFill="1" applyBorder="1" applyAlignment="1">
      <alignment horizontal="center"/>
    </xf>
    <xf numFmtId="0" fontId="27" fillId="0" borderId="58" xfId="0" applyFont="1" applyBorder="1" applyAlignment="1">
      <alignment horizontal="center"/>
    </xf>
    <xf numFmtId="0" fontId="27" fillId="0" borderId="65" xfId="0" applyFont="1" applyBorder="1" applyAlignment="1">
      <alignment horizontal="center"/>
    </xf>
    <xf numFmtId="0" fontId="28" fillId="0" borderId="28" xfId="0" applyFont="1" applyBorder="1" applyAlignment="1">
      <alignment horizontal="right" wrapText="1"/>
    </xf>
    <xf numFmtId="0" fontId="28" fillId="0" borderId="29" xfId="0" applyFont="1" applyBorder="1" applyAlignment="1">
      <alignment horizontal="right" wrapText="1"/>
    </xf>
    <xf numFmtId="0" fontId="28" fillId="0" borderId="40" xfId="0" applyFont="1" applyBorder="1" applyAlignment="1">
      <alignment horizontal="right" wrapText="1"/>
    </xf>
    <xf numFmtId="165" fontId="28" fillId="0" borderId="80" xfId="0" applyNumberFormat="1" applyFont="1" applyBorder="1" applyAlignment="1">
      <alignment horizontal="center"/>
    </xf>
    <xf numFmtId="165" fontId="28" fillId="0" borderId="67" xfId="0" applyNumberFormat="1" applyFont="1" applyBorder="1" applyAlignment="1">
      <alignment horizontal="center"/>
    </xf>
    <xf numFmtId="165" fontId="28" fillId="2" borderId="59" xfId="0" applyNumberFormat="1" applyFont="1" applyFill="1" applyBorder="1" applyAlignment="1">
      <alignment horizontal="center"/>
    </xf>
    <xf numFmtId="165" fontId="28" fillId="2" borderId="68" xfId="0" applyNumberFormat="1" applyFont="1" applyFill="1" applyBorder="1" applyAlignment="1">
      <alignment horizontal="center"/>
    </xf>
    <xf numFmtId="0" fontId="28" fillId="0" borderId="79" xfId="0" applyFont="1" applyBorder="1" applyAlignment="1">
      <alignment horizontal="center" vertical="center" wrapText="1"/>
    </xf>
    <xf numFmtId="0" fontId="28" fillId="0" borderId="62" xfId="0" applyFont="1" applyBorder="1" applyAlignment="1">
      <alignment horizontal="center" vertical="center" wrapText="1"/>
    </xf>
    <xf numFmtId="0" fontId="27" fillId="0" borderId="79" xfId="0" applyFont="1" applyBorder="1" applyAlignment="1">
      <alignment horizontal="center"/>
    </xf>
    <xf numFmtId="0" fontId="27" fillId="0" borderId="66" xfId="0" applyFont="1" applyBorder="1" applyAlignment="1">
      <alignment horizontal="center"/>
    </xf>
    <xf numFmtId="0" fontId="28" fillId="0" borderId="79" xfId="0" applyFont="1" applyBorder="1" applyAlignment="1">
      <alignment horizontal="right" vertical="center" wrapText="1"/>
    </xf>
    <xf numFmtId="0" fontId="28" fillId="0" borderId="62" xfId="0" applyFont="1" applyBorder="1" applyAlignment="1">
      <alignment horizontal="right" vertical="center" wrapText="1"/>
    </xf>
    <xf numFmtId="0" fontId="28" fillId="0" borderId="57" xfId="0" applyFont="1" applyBorder="1" applyAlignment="1">
      <alignment horizontal="left"/>
    </xf>
    <xf numFmtId="0" fontId="28" fillId="0" borderId="10" xfId="0" applyFont="1" applyBorder="1" applyAlignment="1">
      <alignment horizontal="left"/>
    </xf>
    <xf numFmtId="0" fontId="28" fillId="0" borderId="58" xfId="0" applyFont="1" applyBorder="1" applyAlignment="1">
      <alignment horizontal="left"/>
    </xf>
    <xf numFmtId="0" fontId="28" fillId="0" borderId="76" xfId="0" applyFont="1" applyBorder="1" applyAlignment="1">
      <alignment horizontal="left" wrapText="1"/>
    </xf>
    <xf numFmtId="0" fontId="28" fillId="0" borderId="84" xfId="0" applyFont="1" applyBorder="1" applyAlignment="1">
      <alignment horizontal="left" wrapText="1"/>
    </xf>
    <xf numFmtId="0" fontId="28" fillId="0" borderId="61" xfId="0" applyFont="1" applyBorder="1" applyAlignment="1">
      <alignment horizontal="left" wrapText="1"/>
    </xf>
    <xf numFmtId="0" fontId="28" fillId="0" borderId="4" xfId="0" applyFont="1" applyBorder="1" applyAlignment="1">
      <alignment horizontal="left"/>
    </xf>
    <xf numFmtId="0" fontId="28" fillId="0" borderId="6" xfId="0" applyFont="1" applyBorder="1" applyAlignment="1">
      <alignment horizontal="left"/>
    </xf>
    <xf numFmtId="0" fontId="28" fillId="0" borderId="34" xfId="0" applyFont="1" applyBorder="1" applyAlignment="1">
      <alignment horizontal="left"/>
    </xf>
    <xf numFmtId="165" fontId="30" fillId="0" borderId="70" xfId="0" applyNumberFormat="1" applyFont="1" applyBorder="1" applyAlignment="1">
      <alignment horizontal="center"/>
    </xf>
    <xf numFmtId="165" fontId="30" fillId="0" borderId="71" xfId="0" applyNumberFormat="1" applyFont="1" applyBorder="1" applyAlignment="1">
      <alignment horizontal="center"/>
    </xf>
    <xf numFmtId="165" fontId="30" fillId="0" borderId="75" xfId="0" applyNumberFormat="1" applyFont="1" applyBorder="1" applyAlignment="1">
      <alignment horizontal="center"/>
    </xf>
    <xf numFmtId="165" fontId="30" fillId="0" borderId="38" xfId="0" applyNumberFormat="1" applyFont="1" applyBorder="1" applyAlignment="1">
      <alignment horizontal="center"/>
    </xf>
    <xf numFmtId="165" fontId="30" fillId="2" borderId="59" xfId="0" applyNumberFormat="1" applyFont="1" applyFill="1" applyBorder="1" applyAlignment="1">
      <alignment horizontal="center"/>
    </xf>
    <xf numFmtId="165" fontId="30" fillId="2" borderId="68" xfId="0" applyNumberFormat="1" applyFont="1" applyFill="1" applyBorder="1" applyAlignment="1">
      <alignment horizontal="center"/>
    </xf>
    <xf numFmtId="165" fontId="30" fillId="2" borderId="61" xfId="0" applyNumberFormat="1" applyFont="1" applyFill="1" applyBorder="1" applyAlignment="1">
      <alignment horizontal="center"/>
    </xf>
    <xf numFmtId="165" fontId="30" fillId="2" borderId="64" xfId="0" applyNumberFormat="1" applyFont="1" applyFill="1" applyBorder="1" applyAlignment="1">
      <alignment horizontal="center"/>
    </xf>
    <xf numFmtId="0" fontId="28" fillId="0" borderId="31" xfId="0" applyFont="1" applyBorder="1" applyAlignment="1">
      <alignment horizontal="left" wrapText="1"/>
    </xf>
    <xf numFmtId="0" fontId="28" fillId="0" borderId="0" xfId="0" applyFont="1" applyAlignment="1">
      <alignment horizontal="left" wrapText="1"/>
    </xf>
    <xf numFmtId="165" fontId="27" fillId="0" borderId="26" xfId="0" applyNumberFormat="1" applyFont="1" applyBorder="1" applyAlignment="1">
      <alignment horizontal="right"/>
    </xf>
    <xf numFmtId="165" fontId="27" fillId="0" borderId="44" xfId="0" applyNumberFormat="1" applyFont="1" applyBorder="1" applyAlignment="1">
      <alignment horizontal="right"/>
    </xf>
    <xf numFmtId="165" fontId="28" fillId="0" borderId="79" xfId="0" applyNumberFormat="1" applyFont="1" applyFill="1" applyBorder="1" applyAlignment="1">
      <alignment horizontal="center" vertical="center" wrapText="1"/>
    </xf>
    <xf numFmtId="165" fontId="28" fillId="0" borderId="62" xfId="0" applyNumberFormat="1" applyFont="1" applyFill="1" applyBorder="1" applyAlignment="1">
      <alignment horizontal="center" vertical="center" wrapText="1"/>
    </xf>
    <xf numFmtId="165" fontId="28" fillId="0" borderId="65" xfId="0" applyNumberFormat="1" applyFont="1" applyFill="1" applyBorder="1" applyAlignment="1">
      <alignment horizontal="center" vertical="center" wrapText="1"/>
    </xf>
    <xf numFmtId="165" fontId="28" fillId="0" borderId="79" xfId="0" applyNumberFormat="1" applyFont="1" applyBorder="1" applyAlignment="1">
      <alignment horizontal="center" vertical="center" wrapText="1"/>
    </xf>
    <xf numFmtId="165" fontId="28" fillId="0" borderId="62" xfId="0" applyNumberFormat="1" applyFont="1" applyBorder="1" applyAlignment="1">
      <alignment horizontal="center" vertical="center" wrapText="1"/>
    </xf>
    <xf numFmtId="165" fontId="28" fillId="0" borderId="65" xfId="0" applyNumberFormat="1" applyFont="1" applyBorder="1" applyAlignment="1">
      <alignment horizontal="center" vertical="center" wrapText="1"/>
    </xf>
    <xf numFmtId="0" fontId="27" fillId="0" borderId="43" xfId="0" applyFont="1" applyBorder="1" applyAlignment="1">
      <alignment horizontal="center" wrapText="1"/>
    </xf>
    <xf numFmtId="0" fontId="27" fillId="0" borderId="51" xfId="0" applyFont="1" applyBorder="1" applyAlignment="1">
      <alignment horizontal="center" wrapText="1"/>
    </xf>
    <xf numFmtId="165" fontId="34" fillId="0" borderId="26" xfId="0" applyNumberFormat="1" applyFont="1" applyBorder="1" applyAlignment="1">
      <alignment horizontal="right"/>
    </xf>
    <xf numFmtId="165" fontId="34" fillId="0" borderId="44" xfId="0" applyNumberFormat="1" applyFont="1" applyBorder="1" applyAlignment="1">
      <alignment horizontal="right"/>
    </xf>
    <xf numFmtId="0" fontId="74" fillId="0" borderId="69" xfId="0" applyFont="1" applyBorder="1" applyAlignment="1">
      <alignment vertical="top" wrapText="1"/>
    </xf>
    <xf numFmtId="0" fontId="74" fillId="0" borderId="45" xfId="0" applyFont="1" applyBorder="1" applyAlignment="1">
      <alignment vertical="top" wrapText="1"/>
    </xf>
    <xf numFmtId="0" fontId="74" fillId="0" borderId="73" xfId="0" applyFont="1" applyBorder="1" applyAlignment="1">
      <alignment vertical="top" wrapText="1"/>
    </xf>
    <xf numFmtId="9" fontId="28" fillId="2" borderId="16" xfId="0" applyNumberFormat="1" applyFont="1" applyFill="1" applyBorder="1" applyAlignment="1">
      <alignment horizontal="center" vertical="center"/>
    </xf>
    <xf numFmtId="9" fontId="28" fillId="2" borderId="5" xfId="0" applyNumberFormat="1" applyFont="1" applyFill="1" applyBorder="1" applyAlignment="1">
      <alignment horizontal="center" vertical="center"/>
    </xf>
    <xf numFmtId="49" fontId="27" fillId="4" borderId="28" xfId="0" applyNumberFormat="1" applyFont="1" applyFill="1" applyBorder="1" applyAlignment="1">
      <alignment horizontal="center" vertical="center" wrapText="1"/>
    </xf>
    <xf numFmtId="49" fontId="27" fillId="4" borderId="29" xfId="0" applyNumberFormat="1" applyFont="1" applyFill="1" applyBorder="1" applyAlignment="1">
      <alignment horizontal="center" vertical="center" wrapText="1"/>
    </xf>
    <xf numFmtId="49" fontId="27" fillId="4" borderId="40" xfId="0" applyNumberFormat="1" applyFont="1" applyFill="1" applyBorder="1" applyAlignment="1">
      <alignment horizontal="center" vertical="center" wrapText="1"/>
    </xf>
    <xf numFmtId="0" fontId="27" fillId="0" borderId="79"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65" xfId="0" applyFont="1" applyBorder="1" applyAlignment="1">
      <alignment horizontal="center" vertical="center" wrapText="1"/>
    </xf>
    <xf numFmtId="49" fontId="30" fillId="0" borderId="79" xfId="1" applyNumberFormat="1" applyFont="1" applyBorder="1" applyAlignment="1">
      <alignment horizontal="center"/>
    </xf>
    <xf numFmtId="49" fontId="34" fillId="0" borderId="62" xfId="1" applyNumberFormat="1" applyFont="1" applyBorder="1" applyAlignment="1">
      <alignment horizontal="center"/>
    </xf>
    <xf numFmtId="0" fontId="28" fillId="0" borderId="75" xfId="0" applyFont="1" applyBorder="1" applyAlignment="1">
      <alignment horizontal="left" vertical="center" wrapText="1"/>
    </xf>
    <xf numFmtId="0" fontId="28" fillId="0" borderId="38" xfId="0" applyFont="1" applyBorder="1" applyAlignment="1">
      <alignment horizontal="left" vertical="center" wrapText="1"/>
    </xf>
    <xf numFmtId="0" fontId="28" fillId="0" borderId="77" xfId="0" applyFont="1" applyBorder="1" applyAlignment="1">
      <alignment horizontal="left" vertical="center" wrapText="1"/>
    </xf>
    <xf numFmtId="0" fontId="74" fillId="0" borderId="69" xfId="0" applyFont="1" applyBorder="1" applyAlignment="1">
      <alignment horizontal="left" vertical="center" wrapText="1"/>
    </xf>
    <xf numFmtId="0" fontId="74" fillId="0" borderId="45" xfId="0" applyFont="1" applyBorder="1" applyAlignment="1">
      <alignment horizontal="left" vertical="center" wrapText="1"/>
    </xf>
    <xf numFmtId="0" fontId="74" fillId="0" borderId="73" xfId="0" applyFont="1" applyBorder="1" applyAlignment="1">
      <alignment horizontal="left" vertical="center" wrapText="1"/>
    </xf>
    <xf numFmtId="0" fontId="28" fillId="0" borderId="69" xfId="0" applyFont="1" applyBorder="1" applyAlignment="1">
      <alignment horizontal="left" vertical="center"/>
    </xf>
    <xf numFmtId="0" fontId="28" fillId="0" borderId="45" xfId="0" applyFont="1" applyBorder="1" applyAlignment="1">
      <alignment horizontal="left" vertical="center"/>
    </xf>
    <xf numFmtId="0" fontId="28" fillId="0" borderId="73" xfId="0" applyFont="1" applyBorder="1" applyAlignment="1">
      <alignment horizontal="left" vertical="center"/>
    </xf>
    <xf numFmtId="9" fontId="28" fillId="2" borderId="42" xfId="0" applyNumberFormat="1" applyFont="1" applyFill="1" applyBorder="1" applyAlignment="1">
      <alignment horizontal="center" vertical="center"/>
    </xf>
    <xf numFmtId="9" fontId="28" fillId="2" borderId="41" xfId="0" applyNumberFormat="1" applyFont="1" applyFill="1" applyBorder="1" applyAlignment="1">
      <alignment horizontal="center" vertical="center"/>
    </xf>
    <xf numFmtId="9" fontId="28" fillId="2" borderId="44" xfId="0" applyNumberFormat="1" applyFont="1" applyFill="1" applyBorder="1" applyAlignment="1">
      <alignment horizontal="center" vertical="center"/>
    </xf>
    <xf numFmtId="9" fontId="28" fillId="2" borderId="35" xfId="0" applyNumberFormat="1" applyFont="1" applyFill="1" applyBorder="1" applyAlignment="1">
      <alignment horizontal="center" vertical="center"/>
    </xf>
    <xf numFmtId="9" fontId="30" fillId="0" borderId="54" xfId="1" applyNumberFormat="1" applyFont="1" applyBorder="1" applyAlignment="1">
      <alignment horizontal="center"/>
    </xf>
    <xf numFmtId="9" fontId="30" fillId="0" borderId="13" xfId="1" applyNumberFormat="1" applyFont="1" applyBorder="1" applyAlignment="1">
      <alignment horizontal="center"/>
    </xf>
    <xf numFmtId="9" fontId="30" fillId="0" borderId="16" xfId="1" applyNumberFormat="1" applyFont="1" applyBorder="1" applyAlignment="1">
      <alignment horizont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1" xfId="0" applyFont="1" applyBorder="1" applyAlignment="1">
      <alignment horizontal="left" vertical="center"/>
    </xf>
    <xf numFmtId="0" fontId="27" fillId="0" borderId="0" xfId="0" applyFont="1" applyAlignment="1">
      <alignment horizontal="left" vertical="center"/>
    </xf>
    <xf numFmtId="0" fontId="27" fillId="0" borderId="87" xfId="0" applyFont="1" applyBorder="1" applyAlignment="1">
      <alignment horizontal="left" vertical="center"/>
    </xf>
    <xf numFmtId="0" fontId="27" fillId="0" borderId="26" xfId="0" applyFont="1" applyBorder="1" applyAlignment="1">
      <alignment horizontal="left"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7" xfId="0" applyFont="1" applyBorder="1" applyAlignment="1">
      <alignment horizontal="center" vertical="center" wrapText="1"/>
    </xf>
    <xf numFmtId="10" fontId="44" fillId="0" borderId="54" xfId="0" applyNumberFormat="1" applyFont="1" applyBorder="1" applyAlignment="1">
      <alignment horizontal="center" vertical="center" wrapText="1"/>
    </xf>
    <xf numFmtId="10" fontId="44" fillId="0" borderId="49" xfId="0" applyNumberFormat="1" applyFont="1" applyBorder="1" applyAlignment="1">
      <alignment horizontal="center" vertical="center" wrapText="1"/>
    </xf>
    <xf numFmtId="10" fontId="44" fillId="0" borderId="52" xfId="0" applyNumberFormat="1" applyFont="1" applyBorder="1" applyAlignment="1">
      <alignment horizontal="center" vertical="center" wrapText="1"/>
    </xf>
    <xf numFmtId="9" fontId="28" fillId="2" borderId="12" xfId="0" applyNumberFormat="1" applyFont="1" applyFill="1" applyBorder="1" applyAlignment="1">
      <alignment horizontal="center" vertical="center"/>
    </xf>
    <xf numFmtId="165" fontId="28" fillId="0" borderId="29" xfId="0" applyNumberFormat="1" applyFont="1" applyBorder="1" applyAlignment="1">
      <alignment horizontal="left" vertical="top" wrapText="1"/>
    </xf>
    <xf numFmtId="165" fontId="28" fillId="0" borderId="0" xfId="0" applyNumberFormat="1" applyFont="1" applyAlignment="1">
      <alignment horizontal="left" vertical="top" wrapText="1"/>
    </xf>
    <xf numFmtId="10" fontId="30" fillId="37" borderId="28" xfId="1" applyNumberFormat="1" applyFont="1" applyFill="1" applyBorder="1" applyAlignment="1" applyProtection="1">
      <alignment horizontal="center" vertical="center"/>
      <protection locked="0"/>
    </xf>
    <xf numFmtId="10" fontId="30" fillId="37" borderId="29" xfId="1" applyNumberFormat="1" applyFont="1" applyFill="1" applyBorder="1" applyAlignment="1" applyProtection="1">
      <alignment horizontal="center" vertical="center"/>
      <protection locked="0"/>
    </xf>
    <xf numFmtId="10" fontId="30" fillId="37" borderId="40" xfId="1" applyNumberFormat="1" applyFont="1" applyFill="1" applyBorder="1" applyAlignment="1" applyProtection="1">
      <alignment horizontal="center" vertical="center"/>
      <protection locked="0"/>
    </xf>
    <xf numFmtId="10" fontId="30" fillId="37" borderId="31" xfId="1" applyNumberFormat="1" applyFont="1" applyFill="1" applyBorder="1" applyAlignment="1" applyProtection="1">
      <alignment horizontal="center" vertical="center"/>
      <protection locked="0"/>
    </xf>
    <xf numFmtId="10" fontId="30" fillId="37" borderId="0" xfId="1" applyNumberFormat="1" applyFont="1" applyFill="1" applyAlignment="1" applyProtection="1">
      <alignment horizontal="center" vertical="center"/>
      <protection locked="0"/>
    </xf>
    <xf numFmtId="10" fontId="30" fillId="37" borderId="41" xfId="1" applyNumberFormat="1" applyFont="1" applyFill="1" applyBorder="1" applyAlignment="1" applyProtection="1">
      <alignment horizontal="center" vertical="center"/>
      <protection locked="0"/>
    </xf>
    <xf numFmtId="10" fontId="30" fillId="37" borderId="87" xfId="1" applyNumberFormat="1" applyFont="1" applyFill="1" applyBorder="1" applyAlignment="1" applyProtection="1">
      <alignment horizontal="center" vertical="center"/>
      <protection locked="0"/>
    </xf>
    <xf numFmtId="10" fontId="30" fillId="37" borderId="26" xfId="1" applyNumberFormat="1" applyFont="1" applyFill="1" applyBorder="1" applyAlignment="1" applyProtection="1">
      <alignment horizontal="center" vertical="center"/>
      <protection locked="0"/>
    </xf>
    <xf numFmtId="10" fontId="30" fillId="37" borderId="44" xfId="1" applyNumberFormat="1" applyFont="1" applyFill="1" applyBorder="1" applyAlignment="1" applyProtection="1">
      <alignment horizontal="center" vertical="center"/>
      <protection locked="0"/>
    </xf>
    <xf numFmtId="0" fontId="30" fillId="0" borderId="28" xfId="1" applyFont="1" applyBorder="1" applyAlignment="1">
      <alignment horizontal="center" vertical="center" wrapText="1"/>
    </xf>
    <xf numFmtId="0" fontId="30" fillId="0" borderId="29" xfId="1" applyFont="1" applyBorder="1" applyAlignment="1">
      <alignment horizontal="center" vertical="center" wrapText="1"/>
    </xf>
    <xf numFmtId="0" fontId="30" fillId="0" borderId="40"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0" xfId="1" applyFont="1" applyAlignment="1">
      <alignment horizontal="center" vertical="center" wrapText="1"/>
    </xf>
    <xf numFmtId="0" fontId="30" fillId="0" borderId="41" xfId="1" applyFont="1" applyBorder="1" applyAlignment="1">
      <alignment horizontal="center" vertical="center" wrapText="1"/>
    </xf>
    <xf numFmtId="0" fontId="30" fillId="0" borderId="87" xfId="1" applyFont="1" applyBorder="1" applyAlignment="1">
      <alignment horizontal="center" vertical="center" wrapText="1"/>
    </xf>
    <xf numFmtId="0" fontId="30" fillId="0" borderId="26" xfId="1" applyFont="1" applyBorder="1" applyAlignment="1">
      <alignment horizontal="center" vertical="center" wrapText="1"/>
    </xf>
    <xf numFmtId="0" fontId="30" fillId="0" borderId="44" xfId="1" applyFont="1" applyBorder="1" applyAlignment="1">
      <alignment horizontal="center" vertical="center" wrapText="1"/>
    </xf>
    <xf numFmtId="0" fontId="28" fillId="0" borderId="41" xfId="0" applyFont="1" applyBorder="1" applyAlignment="1">
      <alignment horizontal="left" wrapText="1"/>
    </xf>
    <xf numFmtId="165" fontId="27" fillId="0" borderId="28" xfId="0" applyNumberFormat="1" applyFont="1" applyBorder="1" applyAlignment="1">
      <alignment horizontal="center" vertical="center" wrapText="1"/>
    </xf>
    <xf numFmtId="165" fontId="27" fillId="0" borderId="29" xfId="0" applyNumberFormat="1" applyFont="1" applyBorder="1" applyAlignment="1">
      <alignment horizontal="center" vertical="center" wrapText="1"/>
    </xf>
    <xf numFmtId="165" fontId="27" fillId="0" borderId="31" xfId="0" applyNumberFormat="1" applyFont="1" applyBorder="1" applyAlignment="1">
      <alignment horizontal="center" vertical="center" wrapText="1"/>
    </xf>
    <xf numFmtId="165" fontId="27" fillId="0" borderId="0" xfId="0" applyNumberFormat="1" applyFont="1" applyAlignment="1">
      <alignment horizontal="center" vertical="center" wrapText="1"/>
    </xf>
    <xf numFmtId="165" fontId="27" fillId="0" borderId="87" xfId="0" applyNumberFormat="1" applyFont="1" applyBorder="1" applyAlignment="1">
      <alignment horizontal="center" vertical="center" wrapText="1"/>
    </xf>
    <xf numFmtId="165" fontId="27" fillId="0" borderId="26" xfId="0" applyNumberFormat="1" applyFont="1" applyBorder="1" applyAlignment="1">
      <alignment horizontal="center" vertical="center" wrapText="1"/>
    </xf>
    <xf numFmtId="165" fontId="27" fillId="0" borderId="16" xfId="0" applyNumberFormat="1" applyFont="1" applyBorder="1" applyAlignment="1">
      <alignment horizontal="center" vertical="center" wrapText="1"/>
    </xf>
    <xf numFmtId="165" fontId="27" fillId="0" borderId="15" xfId="0" applyNumberFormat="1" applyFont="1" applyBorder="1" applyAlignment="1">
      <alignment horizontal="center" vertical="center" wrapText="1"/>
    </xf>
    <xf numFmtId="165" fontId="27" fillId="0" borderId="8" xfId="0" applyNumberFormat="1" applyFont="1" applyBorder="1" applyAlignment="1">
      <alignment horizontal="center" vertical="center" wrapText="1"/>
    </xf>
    <xf numFmtId="0" fontId="27" fillId="4" borderId="70" xfId="0" applyFont="1" applyFill="1" applyBorder="1" applyAlignment="1">
      <alignment horizontal="center"/>
    </xf>
    <xf numFmtId="0" fontId="27" fillId="4" borderId="63" xfId="0" applyFont="1" applyFill="1" applyBorder="1" applyAlignment="1">
      <alignment horizontal="center"/>
    </xf>
    <xf numFmtId="0" fontId="27" fillId="4" borderId="68" xfId="0" applyFont="1" applyFill="1" applyBorder="1" applyAlignment="1">
      <alignment horizontal="center"/>
    </xf>
    <xf numFmtId="0" fontId="27" fillId="4" borderId="75" xfId="0" applyFont="1" applyFill="1" applyBorder="1" applyAlignment="1">
      <alignment horizontal="center"/>
    </xf>
    <xf numFmtId="0" fontId="27" fillId="4" borderId="38" xfId="0" applyFont="1" applyFill="1" applyBorder="1" applyAlignment="1">
      <alignment horizontal="center"/>
    </xf>
    <xf numFmtId="0" fontId="27" fillId="4" borderId="64" xfId="0" applyFont="1" applyFill="1" applyBorder="1" applyAlignment="1">
      <alignment horizontal="center"/>
    </xf>
    <xf numFmtId="49" fontId="28" fillId="0" borderId="28" xfId="0" applyNumberFormat="1" applyFont="1" applyBorder="1" applyAlignment="1">
      <alignment horizontal="center" vertical="center"/>
    </xf>
    <xf numFmtId="49" fontId="28" fillId="0" borderId="29" xfId="0" applyNumberFormat="1" applyFont="1" applyBorder="1" applyAlignment="1">
      <alignment horizontal="center" vertical="center"/>
    </xf>
    <xf numFmtId="49" fontId="28" fillId="0" borderId="40" xfId="0" applyNumberFormat="1" applyFont="1" applyBorder="1" applyAlignment="1">
      <alignment horizontal="center" vertical="center"/>
    </xf>
    <xf numFmtId="49" fontId="28" fillId="0" borderId="87"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8" fillId="0" borderId="44" xfId="0" applyNumberFormat="1" applyFont="1" applyBorder="1" applyAlignment="1">
      <alignment horizontal="center" vertical="center"/>
    </xf>
    <xf numFmtId="10" fontId="28" fillId="0" borderId="29" xfId="0" applyNumberFormat="1" applyFont="1" applyBorder="1" applyAlignment="1">
      <alignment horizontal="center" vertical="center"/>
    </xf>
    <xf numFmtId="10" fontId="28" fillId="0" borderId="40" xfId="0" applyNumberFormat="1" applyFont="1" applyBorder="1" applyAlignment="1">
      <alignment horizontal="center" vertical="center"/>
    </xf>
    <xf numFmtId="10" fontId="28" fillId="0" borderId="0" xfId="0" applyNumberFormat="1" applyFont="1" applyAlignment="1">
      <alignment horizontal="center" vertical="center"/>
    </xf>
    <xf numFmtId="10" fontId="28" fillId="0" borderId="41" xfId="0" applyNumberFormat="1" applyFont="1" applyBorder="1" applyAlignment="1">
      <alignment horizontal="center" vertical="center"/>
    </xf>
    <xf numFmtId="10" fontId="28" fillId="0" borderId="26" xfId="0" applyNumberFormat="1" applyFont="1" applyBorder="1" applyAlignment="1">
      <alignment horizontal="center" vertical="center"/>
    </xf>
    <xf numFmtId="10" fontId="28" fillId="0" borderId="44" xfId="0" applyNumberFormat="1" applyFont="1" applyBorder="1" applyAlignment="1">
      <alignment horizontal="center" vertical="center"/>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0" xfId="0" applyFont="1" applyAlignment="1">
      <alignment horizontal="center" vertical="center" wrapText="1"/>
    </xf>
    <xf numFmtId="0" fontId="28" fillId="0" borderId="87"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80" xfId="0" applyFont="1" applyBorder="1" applyAlignment="1">
      <alignment horizontal="left" vertical="center" wrapText="1"/>
    </xf>
    <xf numFmtId="0" fontId="28" fillId="0" borderId="67" xfId="0" applyFont="1" applyBorder="1" applyAlignment="1">
      <alignment horizontal="left" vertical="center" wrapText="1"/>
    </xf>
    <xf numFmtId="0" fontId="27" fillId="0" borderId="28" xfId="0" applyFont="1" applyBorder="1" applyAlignment="1">
      <alignment horizontal="right" wrapText="1"/>
    </xf>
    <xf numFmtId="0" fontId="27" fillId="0" borderId="29" xfId="0" applyFont="1" applyBorder="1" applyAlignment="1">
      <alignment horizontal="right" wrapText="1"/>
    </xf>
    <xf numFmtId="0" fontId="27" fillId="0" borderId="40" xfId="0" applyFont="1" applyBorder="1" applyAlignment="1">
      <alignment horizontal="right" wrapText="1"/>
    </xf>
    <xf numFmtId="0" fontId="27" fillId="0" borderId="87" xfId="0" applyFont="1" applyBorder="1" applyAlignment="1">
      <alignment horizontal="right" wrapText="1"/>
    </xf>
    <xf numFmtId="0" fontId="27" fillId="0" borderId="26" xfId="0" applyFont="1" applyBorder="1" applyAlignment="1">
      <alignment horizontal="right" wrapText="1"/>
    </xf>
    <xf numFmtId="0" fontId="27" fillId="0" borderId="44" xfId="0" applyFont="1" applyBorder="1" applyAlignment="1">
      <alignment horizontal="right" wrapText="1"/>
    </xf>
    <xf numFmtId="0" fontId="27" fillId="0" borderId="80" xfId="0" applyFont="1" applyBorder="1" applyAlignment="1">
      <alignment horizontal="left"/>
    </xf>
    <xf numFmtId="0" fontId="27" fillId="0" borderId="67" xfId="0" applyFont="1" applyBorder="1" applyAlignment="1">
      <alignment horizontal="left"/>
    </xf>
    <xf numFmtId="0" fontId="27" fillId="0" borderId="59" xfId="0" applyFont="1" applyBorder="1" applyAlignment="1">
      <alignment horizontal="left"/>
    </xf>
    <xf numFmtId="0" fontId="27" fillId="0" borderId="76" xfId="0" applyFont="1" applyBorder="1" applyAlignment="1">
      <alignment horizontal="left"/>
    </xf>
    <xf numFmtId="0" fontId="27" fillId="0" borderId="84" xfId="0" applyFont="1" applyBorder="1" applyAlignment="1">
      <alignment horizontal="left"/>
    </xf>
    <xf numFmtId="0" fontId="27" fillId="0" borderId="61" xfId="0" applyFont="1" applyBorder="1" applyAlignment="1">
      <alignment horizontal="left"/>
    </xf>
    <xf numFmtId="3" fontId="31" fillId="37" borderId="16" xfId="0" applyNumberFormat="1" applyFont="1" applyFill="1" applyBorder="1" applyAlignment="1">
      <alignment horizontal="center" vertical="center" wrapText="1"/>
    </xf>
    <xf numFmtId="3" fontId="31" fillId="37" borderId="15" xfId="0" applyNumberFormat="1" applyFont="1" applyFill="1" applyBorder="1" applyAlignment="1">
      <alignment horizontal="center" vertical="center" wrapText="1"/>
    </xf>
    <xf numFmtId="3" fontId="31" fillId="37" borderId="8" xfId="0" applyNumberFormat="1" applyFont="1" applyFill="1" applyBorder="1" applyAlignment="1">
      <alignment horizontal="center" vertical="center" wrapText="1"/>
    </xf>
    <xf numFmtId="9" fontId="28" fillId="2" borderId="59" xfId="0" applyNumberFormat="1" applyFont="1" applyFill="1" applyBorder="1" applyAlignment="1">
      <alignment horizontal="center" vertical="center"/>
    </xf>
    <xf numFmtId="0" fontId="27" fillId="0" borderId="79" xfId="0" applyFont="1" applyFill="1" applyBorder="1" applyAlignment="1">
      <alignment horizontal="left"/>
    </xf>
    <xf numFmtId="0" fontId="27" fillId="0" borderId="62" xfId="0" applyFont="1" applyFill="1" applyBorder="1" applyAlignment="1">
      <alignment horizontal="left"/>
    </xf>
    <xf numFmtId="0" fontId="28" fillId="0" borderId="76" xfId="0" applyFont="1" applyBorder="1" applyAlignment="1">
      <alignment horizontal="left" vertical="center" wrapText="1"/>
    </xf>
    <xf numFmtId="0" fontId="28" fillId="0" borderId="84" xfId="0" applyFont="1" applyBorder="1" applyAlignment="1">
      <alignment horizontal="left" vertical="center" wrapText="1"/>
    </xf>
    <xf numFmtId="9" fontId="28" fillId="2" borderId="2" xfId="0" applyNumberFormat="1" applyFont="1" applyFill="1" applyBorder="1" applyAlignment="1">
      <alignment horizontal="center" vertical="center"/>
    </xf>
    <xf numFmtId="0" fontId="28" fillId="0" borderId="69" xfId="0" applyFont="1" applyBorder="1" applyAlignment="1">
      <alignment vertical="top" wrapText="1"/>
    </xf>
    <xf numFmtId="0" fontId="28" fillId="0" borderId="45" xfId="0" applyFont="1" applyBorder="1" applyAlignment="1">
      <alignment vertical="top" wrapText="1"/>
    </xf>
    <xf numFmtId="0" fontId="28" fillId="0" borderId="73" xfId="0" applyFont="1" applyBorder="1" applyAlignment="1">
      <alignment vertical="top" wrapText="1"/>
    </xf>
    <xf numFmtId="0" fontId="28" fillId="0" borderId="28" xfId="0" applyFont="1" applyBorder="1" applyAlignment="1">
      <alignment vertical="top" wrapText="1"/>
    </xf>
    <xf numFmtId="0" fontId="28" fillId="0" borderId="29" xfId="0" applyFont="1" applyBorder="1" applyAlignment="1">
      <alignment vertical="top" wrapText="1"/>
    </xf>
    <xf numFmtId="0" fontId="28" fillId="0" borderId="55" xfId="0" applyFont="1" applyBorder="1" applyAlignment="1">
      <alignment vertical="top" wrapText="1"/>
    </xf>
    <xf numFmtId="3" fontId="31" fillId="0" borderId="16" xfId="0" applyNumberFormat="1" applyFont="1" applyBorder="1" applyAlignment="1">
      <alignment horizontal="center" vertical="center" wrapText="1"/>
    </xf>
    <xf numFmtId="3" fontId="31" fillId="0" borderId="15" xfId="0" applyNumberFormat="1" applyFont="1" applyBorder="1" applyAlignment="1">
      <alignment horizontal="center" vertical="center" wrapText="1"/>
    </xf>
    <xf numFmtId="3" fontId="31" fillId="0" borderId="8" xfId="0" applyNumberFormat="1" applyFont="1" applyBorder="1" applyAlignment="1">
      <alignment horizontal="center" vertical="center" wrapText="1"/>
    </xf>
    <xf numFmtId="0" fontId="27" fillId="0" borderId="29" xfId="0" applyFont="1" applyBorder="1" applyAlignment="1">
      <alignment horizontal="center" vertical="center" wrapText="1"/>
    </xf>
    <xf numFmtId="0" fontId="27" fillId="0" borderId="26" xfId="0" applyFont="1" applyBorder="1" applyAlignment="1">
      <alignment horizontal="center" vertical="center" wrapText="1"/>
    </xf>
    <xf numFmtId="0" fontId="28" fillId="4" borderId="7" xfId="0" applyFont="1" applyFill="1" applyBorder="1" applyAlignment="1">
      <alignment horizontal="center" vertical="center"/>
    </xf>
    <xf numFmtId="165" fontId="28" fillId="0" borderId="13" xfId="0" applyNumberFormat="1" applyFont="1" applyBorder="1" applyAlignment="1">
      <alignment horizontal="center" vertical="center"/>
    </xf>
    <xf numFmtId="165" fontId="28" fillId="0" borderId="16" xfId="0" applyNumberFormat="1" applyFont="1" applyBorder="1" applyAlignment="1">
      <alignment horizontal="center" vertical="center"/>
    </xf>
    <xf numFmtId="165" fontId="28" fillId="0" borderId="14" xfId="0" applyNumberFormat="1" applyFont="1" applyBorder="1" applyAlignment="1">
      <alignment horizontal="center" vertical="center"/>
    </xf>
    <xf numFmtId="165" fontId="28" fillId="0" borderId="15" xfId="0" applyNumberFormat="1" applyFont="1" applyBorder="1" applyAlignment="1">
      <alignment horizontal="center" vertical="center"/>
    </xf>
    <xf numFmtId="165" fontId="28" fillId="0" borderId="7" xfId="0" applyNumberFormat="1" applyFont="1" applyBorder="1" applyAlignment="1">
      <alignment horizontal="center" vertical="center"/>
    </xf>
    <xf numFmtId="165" fontId="28" fillId="0" borderId="8" xfId="0" applyNumberFormat="1" applyFont="1" applyBorder="1" applyAlignment="1">
      <alignment horizontal="center" vertical="center"/>
    </xf>
    <xf numFmtId="9" fontId="28" fillId="2" borderId="63" xfId="0" applyNumberFormat="1" applyFont="1" applyFill="1" applyBorder="1" applyAlignment="1">
      <alignment horizontal="center" vertical="center"/>
    </xf>
    <xf numFmtId="9" fontId="28" fillId="2" borderId="45" xfId="0" applyNumberFormat="1" applyFont="1" applyFill="1" applyBorder="1" applyAlignment="1">
      <alignment horizontal="center" vertical="center"/>
    </xf>
    <xf numFmtId="165" fontId="27" fillId="0" borderId="40" xfId="0" applyNumberFormat="1" applyFont="1" applyBorder="1" applyAlignment="1">
      <alignment horizontal="center" vertical="center" wrapText="1"/>
    </xf>
    <xf numFmtId="165" fontId="27" fillId="0" borderId="41" xfId="0" applyNumberFormat="1" applyFont="1" applyBorder="1" applyAlignment="1">
      <alignment horizontal="center" vertical="center" wrapText="1"/>
    </xf>
    <xf numFmtId="165" fontId="27" fillId="0" borderId="44" xfId="0" applyNumberFormat="1" applyFont="1" applyBorder="1" applyAlignment="1">
      <alignment horizontal="center" vertical="center" wrapText="1"/>
    </xf>
    <xf numFmtId="165" fontId="28" fillId="0" borderId="79" xfId="0" applyNumberFormat="1" applyFont="1" applyFill="1" applyBorder="1" applyAlignment="1">
      <alignment horizontal="center" vertical="center"/>
    </xf>
    <xf numFmtId="165" fontId="28" fillId="0" borderId="62" xfId="0" applyNumberFormat="1" applyFont="1" applyFill="1" applyBorder="1" applyAlignment="1">
      <alignment horizontal="center" vertical="center"/>
    </xf>
    <xf numFmtId="165" fontId="28" fillId="0" borderId="65" xfId="0" applyNumberFormat="1" applyFont="1" applyFill="1" applyBorder="1" applyAlignment="1">
      <alignment horizontal="center" vertical="center"/>
    </xf>
    <xf numFmtId="165" fontId="29" fillId="0" borderId="79" xfId="0" applyNumberFormat="1" applyFont="1" applyBorder="1" applyAlignment="1">
      <alignment horizontal="center"/>
    </xf>
    <xf numFmtId="165" fontId="29" fillId="0" borderId="62" xfId="0" applyNumberFormat="1" applyFont="1" applyBorder="1" applyAlignment="1">
      <alignment horizontal="center"/>
    </xf>
    <xf numFmtId="0" fontId="29" fillId="0" borderId="0" xfId="0" applyFont="1" applyAlignment="1">
      <alignment horizontal="center" wrapText="1"/>
    </xf>
    <xf numFmtId="49" fontId="28" fillId="2" borderId="69" xfId="0" applyNumberFormat="1" applyFont="1" applyFill="1" applyBorder="1" applyAlignment="1">
      <alignment horizontal="left" vertical="top" wrapText="1"/>
    </xf>
    <xf numFmtId="49" fontId="28" fillId="2" borderId="45" xfId="0" applyNumberFormat="1" applyFont="1" applyFill="1" applyBorder="1" applyAlignment="1">
      <alignment horizontal="left" vertical="top" wrapText="1"/>
    </xf>
    <xf numFmtId="49" fontId="28" fillId="2" borderId="73" xfId="0" applyNumberFormat="1" applyFont="1" applyFill="1" applyBorder="1" applyAlignment="1">
      <alignment horizontal="left" vertical="top" wrapText="1"/>
    </xf>
    <xf numFmtId="49" fontId="30" fillId="2" borderId="36" xfId="0" applyNumberFormat="1" applyFont="1" applyFill="1" applyBorder="1" applyAlignment="1">
      <alignment horizontal="left" vertical="top" wrapText="1"/>
    </xf>
    <xf numFmtId="49" fontId="30" fillId="2" borderId="37" xfId="0" applyNumberFormat="1" applyFont="1" applyFill="1" applyBorder="1" applyAlignment="1">
      <alignment horizontal="left" vertical="top" wrapText="1"/>
    </xf>
    <xf numFmtId="49" fontId="30" fillId="2" borderId="86" xfId="0" applyNumberFormat="1" applyFont="1" applyFill="1" applyBorder="1" applyAlignment="1">
      <alignment horizontal="left" vertical="top" wrapText="1"/>
    </xf>
    <xf numFmtId="49" fontId="30" fillId="2" borderId="31" xfId="0" applyNumberFormat="1" applyFont="1" applyFill="1" applyBorder="1" applyAlignment="1">
      <alignment horizontal="left" vertical="top" wrapText="1"/>
    </xf>
    <xf numFmtId="49" fontId="30" fillId="2" borderId="0" xfId="0" applyNumberFormat="1" applyFont="1" applyFill="1" applyBorder="1" applyAlignment="1">
      <alignment horizontal="left" vertical="top" wrapText="1"/>
    </xf>
    <xf numFmtId="49" fontId="30" fillId="2" borderId="50" xfId="0" applyNumberFormat="1" applyFont="1" applyFill="1" applyBorder="1" applyAlignment="1">
      <alignment horizontal="left" vertical="top" wrapText="1"/>
    </xf>
    <xf numFmtId="49" fontId="30" fillId="2" borderId="33" xfId="0" applyNumberFormat="1" applyFont="1" applyFill="1" applyBorder="1" applyAlignment="1">
      <alignment horizontal="left" vertical="top" wrapText="1"/>
    </xf>
    <xf numFmtId="49" fontId="30" fillId="2" borderId="27" xfId="0" applyNumberFormat="1" applyFont="1" applyFill="1" applyBorder="1" applyAlignment="1">
      <alignment horizontal="left" vertical="top" wrapText="1"/>
    </xf>
    <xf numFmtId="49" fontId="30" fillId="2" borderId="85" xfId="0" applyNumberFormat="1" applyFont="1" applyFill="1" applyBorder="1" applyAlignment="1">
      <alignment horizontal="left" vertical="top" wrapText="1"/>
    </xf>
    <xf numFmtId="49" fontId="28" fillId="2" borderId="36" xfId="0" applyNumberFormat="1" applyFont="1" applyFill="1" applyBorder="1" applyAlignment="1">
      <alignment horizontal="left" vertical="top" wrapText="1"/>
    </xf>
    <xf numFmtId="49" fontId="28" fillId="2" borderId="37" xfId="0" applyNumberFormat="1" applyFont="1" applyFill="1" applyBorder="1" applyAlignment="1">
      <alignment horizontal="left" vertical="top" wrapText="1"/>
    </xf>
    <xf numFmtId="49" fontId="28" fillId="2" borderId="86" xfId="0" applyNumberFormat="1" applyFont="1" applyFill="1" applyBorder="1" applyAlignment="1">
      <alignment horizontal="left" vertical="top" wrapText="1"/>
    </xf>
    <xf numFmtId="49" fontId="28" fillId="2" borderId="0" xfId="0" applyNumberFormat="1" applyFont="1" applyFill="1" applyBorder="1" applyAlignment="1">
      <alignment horizontal="left" vertical="top" wrapText="1"/>
    </xf>
    <xf numFmtId="10" fontId="28" fillId="0" borderId="79" xfId="0" applyNumberFormat="1" applyFont="1" applyFill="1" applyBorder="1" applyAlignment="1">
      <alignment horizontal="center"/>
    </xf>
    <xf numFmtId="10" fontId="28" fillId="0" borderId="62" xfId="0" applyNumberFormat="1" applyFont="1" applyFill="1" applyBorder="1" applyAlignment="1">
      <alignment horizontal="center"/>
    </xf>
    <xf numFmtId="165" fontId="38" fillId="0" borderId="69" xfId="0" applyNumberFormat="1" applyFont="1" applyBorder="1" applyAlignment="1">
      <alignment horizontal="right"/>
    </xf>
    <xf numFmtId="165" fontId="38" fillId="0" borderId="73" xfId="0" applyNumberFormat="1" applyFont="1" applyBorder="1" applyAlignment="1">
      <alignment horizontal="right"/>
    </xf>
    <xf numFmtId="165" fontId="38" fillId="0" borderId="60" xfId="0" applyNumberFormat="1" applyFont="1" applyBorder="1" applyAlignment="1"/>
    <xf numFmtId="165" fontId="38" fillId="0" borderId="56" xfId="0" applyNumberFormat="1" applyFont="1" applyBorder="1" applyAlignment="1"/>
    <xf numFmtId="165" fontId="38" fillId="0" borderId="61" xfId="0" applyNumberFormat="1" applyFont="1" applyBorder="1" applyAlignment="1"/>
    <xf numFmtId="165" fontId="38" fillId="0" borderId="64" xfId="0" applyNumberFormat="1" applyFont="1" applyBorder="1" applyAlignment="1"/>
    <xf numFmtId="165" fontId="37" fillId="0" borderId="82" xfId="0" applyNumberFormat="1" applyFont="1" applyBorder="1" applyAlignment="1">
      <alignment vertical="center"/>
    </xf>
    <xf numFmtId="165" fontId="37" fillId="0" borderId="70" xfId="0" applyNumberFormat="1" applyFont="1" applyBorder="1" applyAlignment="1">
      <alignment vertical="center"/>
    </xf>
    <xf numFmtId="165" fontId="37" fillId="0" borderId="68" xfId="0" applyNumberFormat="1" applyFont="1" applyBorder="1" applyAlignment="1">
      <alignment vertical="center"/>
    </xf>
    <xf numFmtId="165" fontId="37" fillId="0" borderId="69" xfId="0" applyNumberFormat="1" applyFont="1" applyBorder="1" applyAlignment="1">
      <alignment vertical="center"/>
    </xf>
    <xf numFmtId="165" fontId="37" fillId="0" borderId="56" xfId="0" applyNumberFormat="1" applyFont="1" applyBorder="1" applyAlignment="1">
      <alignment vertical="center"/>
    </xf>
    <xf numFmtId="165" fontId="37" fillId="0" borderId="75" xfId="0" applyNumberFormat="1" applyFont="1" applyBorder="1" applyAlignment="1">
      <alignment vertical="center"/>
    </xf>
    <xf numFmtId="165" fontId="37" fillId="0" borderId="64" xfId="0" applyNumberFormat="1" applyFont="1" applyBorder="1" applyAlignment="1">
      <alignment vertical="center"/>
    </xf>
    <xf numFmtId="0" fontId="37" fillId="0" borderId="86" xfId="0" applyFont="1" applyBorder="1" applyAlignment="1">
      <alignment horizontal="center" vertical="center"/>
    </xf>
    <xf numFmtId="0" fontId="37" fillId="0" borderId="85" xfId="0" applyFont="1" applyBorder="1" applyAlignment="1">
      <alignment horizontal="center" vertical="center"/>
    </xf>
    <xf numFmtId="167" fontId="37" fillId="0" borderId="60" xfId="0" applyNumberFormat="1" applyFont="1" applyBorder="1" applyAlignment="1">
      <alignment vertical="center"/>
    </xf>
    <xf numFmtId="167" fontId="37" fillId="0" borderId="73" xfId="0" applyNumberFormat="1" applyFont="1" applyBorder="1" applyAlignment="1">
      <alignment vertical="center"/>
    </xf>
    <xf numFmtId="167" fontId="37" fillId="0" borderId="39" xfId="0" applyNumberFormat="1" applyFont="1" applyBorder="1" applyAlignment="1">
      <alignment horizontal="center" vertical="center"/>
    </xf>
    <xf numFmtId="167" fontId="37" fillId="0" borderId="86"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73" xfId="0" applyFont="1" applyBorder="1" applyAlignment="1">
      <alignment horizontal="center" vertical="center"/>
    </xf>
    <xf numFmtId="0" fontId="37" fillId="0" borderId="27" xfId="0" applyFont="1" applyBorder="1" applyAlignment="1">
      <alignment horizontal="center" vertical="center"/>
    </xf>
    <xf numFmtId="0" fontId="37" fillId="0" borderId="0" xfId="0" applyFont="1" applyAlignment="1">
      <alignment horizontal="center"/>
    </xf>
    <xf numFmtId="0" fontId="6" fillId="0" borderId="60" xfId="9" applyNumberFormat="1" applyFont="1" applyFill="1" applyBorder="1" applyAlignment="1">
      <alignment horizontal="right" vertical="center"/>
    </xf>
    <xf numFmtId="0" fontId="6" fillId="0" borderId="73" xfId="9" applyNumberFormat="1" applyFont="1" applyFill="1" applyBorder="1" applyAlignment="1">
      <alignment horizontal="right" vertical="center"/>
    </xf>
    <xf numFmtId="165" fontId="38" fillId="0" borderId="79" xfId="0" applyNumberFormat="1" applyFont="1" applyBorder="1" applyAlignment="1">
      <alignment wrapText="1"/>
    </xf>
    <xf numFmtId="165" fontId="38" fillId="0" borderId="66" xfId="0" applyNumberFormat="1" applyFont="1" applyBorder="1" applyAlignment="1">
      <alignment wrapText="1"/>
    </xf>
    <xf numFmtId="0" fontId="37" fillId="0" borderId="27" xfId="0" applyFont="1" applyBorder="1" applyAlignment="1">
      <alignment horizontal="center"/>
    </xf>
    <xf numFmtId="165" fontId="38" fillId="0" borderId="58" xfId="0" applyNumberFormat="1" applyFont="1" applyBorder="1" applyAlignment="1">
      <alignment horizontal="center"/>
    </xf>
    <xf numFmtId="165" fontId="38" fillId="0" borderId="65" xfId="0" applyNumberFormat="1" applyFont="1" applyBorder="1" applyAlignment="1">
      <alignment horizontal="center"/>
    </xf>
    <xf numFmtId="0" fontId="37" fillId="0" borderId="82" xfId="0" applyFont="1" applyBorder="1" applyAlignment="1">
      <alignment horizontal="center" vertical="center"/>
    </xf>
    <xf numFmtId="165" fontId="37" fillId="0" borderId="82" xfId="5" applyNumberFormat="1" applyFont="1" applyFill="1" applyBorder="1" applyAlignment="1">
      <alignment vertical="center"/>
    </xf>
    <xf numFmtId="169" fontId="59" fillId="0" borderId="82" xfId="0" applyNumberFormat="1" applyFont="1" applyBorder="1" applyAlignment="1">
      <alignment horizontal="center" vertical="center"/>
    </xf>
    <xf numFmtId="0" fontId="47" fillId="0" borderId="31" xfId="0" applyFont="1" applyBorder="1" applyAlignment="1">
      <alignment horizontal="center" wrapText="1"/>
    </xf>
    <xf numFmtId="0" fontId="47" fillId="0" borderId="0" xfId="0" applyFont="1" applyAlignment="1">
      <alignment horizontal="center" wrapText="1"/>
    </xf>
    <xf numFmtId="0" fontId="51" fillId="0" borderId="75"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78" xfId="0" applyFont="1" applyBorder="1" applyAlignment="1">
      <alignment horizontal="center" vertical="center" wrapText="1"/>
    </xf>
    <xf numFmtId="0" fontId="51" fillId="0" borderId="76"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80"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81" xfId="0" applyFont="1" applyBorder="1" applyAlignment="1">
      <alignment horizontal="center" vertical="center" wrapText="1"/>
    </xf>
    <xf numFmtId="0" fontId="51" fillId="0" borderId="1" xfId="0" applyFont="1" applyBorder="1" applyAlignment="1">
      <alignment horizontal="center" vertical="center" wrapText="1"/>
    </xf>
    <xf numFmtId="49" fontId="59" fillId="0" borderId="0" xfId="0" applyNumberFormat="1" applyFont="1" applyAlignment="1">
      <alignment horizontal="center" vertical="center"/>
    </xf>
    <xf numFmtId="167" fontId="52" fillId="0" borderId="43" xfId="5" applyNumberFormat="1" applyFont="1" applyFill="1" applyBorder="1" applyAlignment="1">
      <alignment horizontal="center" vertical="center" textRotation="90"/>
    </xf>
    <xf numFmtId="0" fontId="66" fillId="0" borderId="48" xfId="0" applyFont="1" applyBorder="1" applyAlignment="1">
      <alignment horizontal="center" vertical="center" textRotation="90"/>
    </xf>
    <xf numFmtId="0" fontId="66" fillId="0" borderId="51" xfId="0" applyFont="1" applyBorder="1" applyAlignment="1">
      <alignment horizontal="center" vertical="center" textRotation="90"/>
    </xf>
    <xf numFmtId="167" fontId="52" fillId="0" borderId="48" xfId="5" applyNumberFormat="1" applyFont="1" applyFill="1" applyBorder="1" applyAlignment="1">
      <alignment horizontal="center" vertical="center" textRotation="90"/>
    </xf>
    <xf numFmtId="167" fontId="52" fillId="0" borderId="51" xfId="5" applyNumberFormat="1" applyFont="1" applyFill="1" applyBorder="1" applyAlignment="1">
      <alignment horizontal="center" vertical="center" textRotation="90"/>
    </xf>
    <xf numFmtId="0" fontId="47" fillId="0" borderId="79" xfId="0" applyFont="1" applyBorder="1" applyAlignment="1">
      <alignment horizontal="center"/>
    </xf>
    <xf numFmtId="0" fontId="47" fillId="0" borderId="62" xfId="0" applyFont="1" applyBorder="1" applyAlignment="1">
      <alignment horizontal="center"/>
    </xf>
    <xf numFmtId="0" fontId="47" fillId="0" borderId="65" xfId="0" applyFont="1" applyBorder="1" applyAlignment="1">
      <alignment horizontal="center"/>
    </xf>
    <xf numFmtId="165" fontId="38" fillId="0" borderId="0" xfId="0" applyNumberFormat="1" applyFont="1" applyAlignment="1">
      <alignment horizontal="right"/>
    </xf>
    <xf numFmtId="165" fontId="48" fillId="0" borderId="79" xfId="0" applyNumberFormat="1" applyFont="1" applyBorder="1" applyAlignment="1">
      <alignment horizontal="center"/>
    </xf>
    <xf numFmtId="0" fontId="48" fillId="0" borderId="65" xfId="0" applyFont="1" applyBorder="1" applyAlignment="1">
      <alignment horizontal="center"/>
    </xf>
    <xf numFmtId="165" fontId="47" fillId="0" borderId="79" xfId="0" applyNumberFormat="1" applyFont="1" applyBorder="1" applyAlignment="1">
      <alignment horizontal="center"/>
    </xf>
    <xf numFmtId="165" fontId="47" fillId="0" borderId="66" xfId="0" applyNumberFormat="1" applyFont="1" applyBorder="1" applyAlignment="1">
      <alignment horizontal="center"/>
    </xf>
    <xf numFmtId="165" fontId="38" fillId="0" borderId="33" xfId="0" applyNumberFormat="1" applyFont="1" applyBorder="1" applyAlignment="1">
      <alignment horizontal="right"/>
    </xf>
    <xf numFmtId="165" fontId="38" fillId="0" borderId="85" xfId="0" applyNumberFormat="1" applyFont="1" applyBorder="1" applyAlignment="1">
      <alignment horizontal="right"/>
    </xf>
    <xf numFmtId="165" fontId="47" fillId="0" borderId="58" xfId="0" applyNumberFormat="1" applyFont="1" applyBorder="1" applyAlignment="1">
      <alignment horizontal="center"/>
    </xf>
    <xf numFmtId="165" fontId="47" fillId="0" borderId="65" xfId="0" applyNumberFormat="1" applyFont="1" applyBorder="1" applyAlignment="1">
      <alignment horizontal="center"/>
    </xf>
    <xf numFmtId="0" fontId="56" fillId="0" borderId="46"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6" xfId="0" applyFont="1" applyBorder="1" applyAlignment="1">
      <alignment horizontal="center" vertical="center" wrapText="1"/>
    </xf>
    <xf numFmtId="165" fontId="59" fillId="0" borderId="79" xfId="0" applyNumberFormat="1" applyFont="1" applyBorder="1" applyAlignment="1">
      <alignment horizontal="right" vertical="center"/>
    </xf>
    <xf numFmtId="165" fontId="59" fillId="0" borderId="65" xfId="0" applyNumberFormat="1" applyFont="1" applyBorder="1" applyAlignment="1">
      <alignment horizontal="right" vertical="center"/>
    </xf>
    <xf numFmtId="0" fontId="56" fillId="0" borderId="79" xfId="0" applyFont="1" applyBorder="1" applyAlignment="1">
      <alignment horizontal="left" vertical="center"/>
    </xf>
    <xf numFmtId="0" fontId="56" fillId="0" borderId="62" xfId="0" applyFont="1" applyBorder="1" applyAlignment="1">
      <alignment horizontal="left" vertical="center"/>
    </xf>
    <xf numFmtId="0" fontId="56" fillId="0" borderId="65" xfId="0" applyFont="1" applyBorder="1" applyAlignment="1">
      <alignment horizontal="left" vertical="center"/>
    </xf>
    <xf numFmtId="0" fontId="59" fillId="0" borderId="60" xfId="0" applyFont="1" applyBorder="1" applyAlignment="1">
      <alignment horizontal="left" vertical="center"/>
    </xf>
    <xf numFmtId="0" fontId="59" fillId="0" borderId="45" xfId="0" applyFont="1" applyBorder="1" applyAlignment="1">
      <alignment horizontal="left" vertical="center"/>
    </xf>
    <xf numFmtId="0" fontId="59" fillId="0" borderId="73" xfId="0" applyFont="1" applyBorder="1" applyAlignment="1">
      <alignment horizontal="left" vertical="center"/>
    </xf>
    <xf numFmtId="165" fontId="38" fillId="0" borderId="34" xfId="0" applyNumberFormat="1" applyFont="1" applyBorder="1" applyAlignment="1"/>
    <xf numFmtId="165" fontId="38" fillId="0" borderId="35" xfId="0" applyNumberFormat="1" applyFont="1" applyBorder="1" applyAlignment="1"/>
    <xf numFmtId="165" fontId="64" fillId="0" borderId="79" xfId="0" applyNumberFormat="1" applyFont="1" applyBorder="1" applyAlignment="1">
      <alignment horizontal="center" vertical="center"/>
    </xf>
    <xf numFmtId="165" fontId="64" fillId="0" borderId="65" xfId="0" applyNumberFormat="1" applyFont="1" applyBorder="1" applyAlignment="1">
      <alignment horizontal="center" vertical="center"/>
    </xf>
    <xf numFmtId="0" fontId="37" fillId="0" borderId="82" xfId="0" applyFont="1" applyBorder="1" applyAlignment="1">
      <alignment horizontal="right" vertical="center"/>
    </xf>
    <xf numFmtId="0" fontId="37" fillId="0" borderId="82" xfId="0" applyFont="1" applyBorder="1" applyAlignment="1">
      <alignment horizontal="left" vertical="center"/>
    </xf>
    <xf numFmtId="0" fontId="37" fillId="0" borderId="60" xfId="0" applyFont="1" applyBorder="1" applyAlignment="1">
      <alignment horizontal="right" vertical="center"/>
    </xf>
    <xf numFmtId="0" fontId="37" fillId="0" borderId="45" xfId="0" applyFont="1" applyBorder="1" applyAlignment="1">
      <alignment horizontal="right" vertical="center"/>
    </xf>
    <xf numFmtId="0" fontId="37" fillId="0" borderId="73" xfId="0" applyFont="1" applyBorder="1" applyAlignment="1">
      <alignment horizontal="right" vertical="center"/>
    </xf>
    <xf numFmtId="0" fontId="6" fillId="0" borderId="60" xfId="8" applyFont="1" applyBorder="1" applyAlignment="1">
      <alignment horizontal="left" vertical="center"/>
    </xf>
    <xf numFmtId="0" fontId="6" fillId="0" borderId="45" xfId="8" applyFont="1" applyBorder="1" applyAlignment="1">
      <alignment horizontal="left" vertical="center"/>
    </xf>
    <xf numFmtId="0" fontId="6" fillId="0" borderId="73" xfId="8" applyFont="1" applyBorder="1" applyAlignment="1">
      <alignment horizontal="left" vertical="center"/>
    </xf>
    <xf numFmtId="0" fontId="37" fillId="0" borderId="60" xfId="0" applyFont="1" applyBorder="1" applyAlignment="1">
      <alignment horizontal="left" vertical="center"/>
    </xf>
    <xf numFmtId="0" fontId="37" fillId="0" borderId="45" xfId="0" applyFont="1" applyBorder="1" applyAlignment="1">
      <alignment horizontal="left" vertical="center"/>
    </xf>
    <xf numFmtId="0" fontId="37" fillId="0" borderId="73" xfId="0" applyFont="1" applyBorder="1" applyAlignment="1">
      <alignment horizontal="left" vertical="center"/>
    </xf>
    <xf numFmtId="165" fontId="65" fillId="0" borderId="0" xfId="0" applyNumberFormat="1" applyFont="1" applyAlignment="1">
      <alignment horizontal="center"/>
    </xf>
    <xf numFmtId="0" fontId="65" fillId="0" borderId="0" xfId="0" applyFont="1" applyAlignment="1">
      <alignment horizontal="center"/>
    </xf>
    <xf numFmtId="165" fontId="59" fillId="0" borderId="30" xfId="0" applyNumberFormat="1" applyFont="1" applyBorder="1" applyAlignment="1">
      <alignment horizontal="center"/>
    </xf>
    <xf numFmtId="0" fontId="59" fillId="0" borderId="30" xfId="0" applyFont="1" applyBorder="1" applyAlignment="1">
      <alignment horizontal="center"/>
    </xf>
    <xf numFmtId="0" fontId="37" fillId="0" borderId="46" xfId="0" applyFont="1" applyBorder="1" applyAlignment="1">
      <alignment horizontal="center" vertical="center"/>
    </xf>
    <xf numFmtId="0" fontId="37" fillId="0" borderId="14" xfId="0" applyFont="1" applyBorder="1" applyAlignment="1">
      <alignment horizontal="center" vertical="center"/>
    </xf>
    <xf numFmtId="0" fontId="37" fillId="0" borderId="6" xfId="0" applyFont="1" applyBorder="1" applyAlignment="1">
      <alignment horizontal="center" vertical="center"/>
    </xf>
    <xf numFmtId="167" fontId="60" fillId="0" borderId="43" xfId="14" applyNumberFormat="1" applyFont="1" applyFill="1" applyBorder="1" applyAlignment="1">
      <alignment horizontal="center" vertical="center" textRotation="90"/>
    </xf>
    <xf numFmtId="167" fontId="60" fillId="0" borderId="48" xfId="14" applyNumberFormat="1" applyFont="1" applyFill="1" applyBorder="1" applyAlignment="1">
      <alignment horizontal="center" vertical="center" textRotation="90"/>
    </xf>
    <xf numFmtId="167" fontId="60" fillId="0" borderId="51" xfId="14" applyNumberFormat="1" applyFont="1" applyFill="1" applyBorder="1" applyAlignment="1">
      <alignment horizontal="center" vertical="center" textRotation="90"/>
    </xf>
    <xf numFmtId="0" fontId="6" fillId="0" borderId="0" xfId="9" applyNumberFormat="1" applyFont="1" applyFill="1" applyBorder="1" applyAlignment="1">
      <alignment horizontal="right" vertical="center"/>
    </xf>
    <xf numFmtId="0" fontId="59" fillId="0" borderId="60" xfId="13" applyFont="1" applyBorder="1" applyAlignment="1">
      <alignment horizontal="left" vertical="center"/>
    </xf>
    <xf numFmtId="0" fontId="59" fillId="0" borderId="45" xfId="13" applyFont="1" applyBorder="1" applyAlignment="1">
      <alignment horizontal="left" vertical="center"/>
    </xf>
    <xf numFmtId="0" fontId="59" fillId="0" borderId="73" xfId="13" applyFont="1" applyBorder="1" applyAlignment="1">
      <alignment horizontal="left" vertical="center"/>
    </xf>
    <xf numFmtId="165" fontId="59" fillId="0" borderId="79" xfId="13" applyNumberFormat="1" applyFont="1" applyBorder="1" applyAlignment="1">
      <alignment horizontal="right" vertical="center"/>
    </xf>
    <xf numFmtId="165" fontId="59" fillId="0" borderId="65" xfId="13" applyNumberFormat="1" applyFont="1" applyBorder="1" applyAlignment="1">
      <alignment horizontal="right" vertical="center"/>
    </xf>
    <xf numFmtId="0" fontId="56" fillId="0" borderId="79" xfId="0" applyFont="1" applyBorder="1" applyAlignment="1">
      <alignment horizontal="center" vertical="center"/>
    </xf>
    <xf numFmtId="0" fontId="56" fillId="0" borderId="65" xfId="0" applyFont="1" applyBorder="1" applyAlignment="1">
      <alignment horizontal="center" vertical="center"/>
    </xf>
    <xf numFmtId="165" fontId="47" fillId="0" borderId="30" xfId="0" applyNumberFormat="1" applyFont="1" applyBorder="1" applyAlignment="1">
      <alignment horizontal="center"/>
    </xf>
    <xf numFmtId="0" fontId="47" fillId="0" borderId="79" xfId="0" applyFont="1" applyBorder="1" applyAlignment="1">
      <alignment horizontal="center" wrapText="1"/>
    </xf>
    <xf numFmtId="0" fontId="47" fillId="0" borderId="62" xfId="0" applyFont="1" applyBorder="1" applyAlignment="1">
      <alignment horizontal="center" wrapText="1"/>
    </xf>
    <xf numFmtId="0" fontId="47" fillId="0" borderId="65" xfId="0" applyFont="1" applyBorder="1" applyAlignment="1">
      <alignment horizontal="center" wrapText="1"/>
    </xf>
    <xf numFmtId="165" fontId="38" fillId="0" borderId="79" xfId="0" applyNumberFormat="1" applyFont="1" applyBorder="1" applyAlignment="1"/>
    <xf numFmtId="165" fontId="38" fillId="0" borderId="66" xfId="0" applyNumberFormat="1" applyFont="1" applyBorder="1" applyAlignment="1"/>
    <xf numFmtId="165" fontId="38" fillId="0" borderId="70" xfId="0" applyNumberFormat="1" applyFont="1" applyBorder="1" applyAlignment="1">
      <alignment horizontal="right"/>
    </xf>
    <xf numFmtId="165" fontId="38" fillId="0" borderId="71" xfId="0" applyNumberFormat="1" applyFont="1" applyBorder="1" applyAlignment="1">
      <alignment horizontal="right"/>
    </xf>
    <xf numFmtId="165" fontId="38" fillId="0" borderId="45" xfId="0" applyNumberFormat="1" applyFont="1" applyBorder="1" applyAlignment="1">
      <alignment horizontal="right"/>
    </xf>
    <xf numFmtId="165" fontId="38" fillId="0" borderId="60" xfId="0" applyNumberFormat="1" applyFont="1" applyBorder="1" applyAlignment="1">
      <alignment horizontal="right"/>
    </xf>
    <xf numFmtId="165" fontId="38" fillId="0" borderId="36" xfId="0" applyNumberFormat="1" applyFont="1" applyBorder="1" applyAlignment="1">
      <alignment horizontal="right"/>
    </xf>
    <xf numFmtId="165" fontId="38" fillId="0" borderId="37" xfId="0" applyNumberFormat="1" applyFont="1" applyBorder="1" applyAlignment="1">
      <alignment horizontal="right"/>
    </xf>
    <xf numFmtId="165" fontId="38" fillId="0" borderId="75" xfId="0" applyNumberFormat="1" applyFont="1" applyBorder="1" applyAlignment="1">
      <alignment horizontal="right"/>
    </xf>
    <xf numFmtId="165" fontId="38" fillId="0" borderId="77" xfId="0" applyNumberFormat="1" applyFont="1" applyBorder="1" applyAlignment="1">
      <alignment horizontal="right"/>
    </xf>
    <xf numFmtId="165" fontId="38" fillId="0" borderId="61" xfId="0" applyNumberFormat="1" applyFont="1" applyBorder="1" applyAlignment="1">
      <alignment horizontal="right"/>
    </xf>
    <xf numFmtId="165" fontId="38" fillId="0" borderId="63" xfId="0" applyNumberFormat="1" applyFont="1" applyBorder="1" applyAlignment="1">
      <alignment horizontal="right"/>
    </xf>
    <xf numFmtId="165" fontId="38" fillId="0" borderId="59" xfId="0" applyNumberFormat="1" applyFont="1" applyBorder="1" applyAlignment="1">
      <alignment horizontal="right"/>
    </xf>
    <xf numFmtId="165" fontId="38" fillId="0" borderId="59" xfId="0" applyNumberFormat="1" applyFont="1" applyBorder="1" applyAlignment="1"/>
    <xf numFmtId="165" fontId="38" fillId="0" borderId="68" xfId="0" applyNumberFormat="1" applyFont="1" applyBorder="1" applyAlignment="1"/>
    <xf numFmtId="0" fontId="51" fillId="0" borderId="69"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70" xfId="0" applyFont="1" applyBorder="1" applyAlignment="1">
      <alignment horizontal="center" vertical="center" wrapText="1"/>
    </xf>
    <xf numFmtId="0" fontId="51" fillId="0" borderId="68" xfId="0" applyFont="1" applyBorder="1" applyAlignment="1">
      <alignment horizontal="center" vertical="center" wrapText="1"/>
    </xf>
    <xf numFmtId="0" fontId="58" fillId="0" borderId="60" xfId="0" applyFont="1" applyBorder="1" applyAlignment="1">
      <alignment horizontal="center" vertical="center"/>
    </xf>
    <xf numFmtId="0" fontId="58" fillId="0" borderId="73" xfId="0" applyFont="1" applyBorder="1" applyAlignment="1">
      <alignment horizontal="center" vertical="center"/>
    </xf>
    <xf numFmtId="0" fontId="58" fillId="0" borderId="82" xfId="0" applyFont="1" applyBorder="1" applyAlignment="1">
      <alignment horizontal="center" vertical="center"/>
    </xf>
    <xf numFmtId="165" fontId="28" fillId="37" borderId="79" xfId="0" applyNumberFormat="1" applyFont="1" applyFill="1" applyBorder="1" applyAlignment="1">
      <alignment horizontal="center"/>
    </xf>
    <xf numFmtId="165" fontId="28" fillId="37" borderId="62" xfId="0" applyNumberFormat="1" applyFont="1" applyFill="1" applyBorder="1" applyAlignment="1">
      <alignment horizontal="center"/>
    </xf>
    <xf numFmtId="165" fontId="28" fillId="37" borderId="65" xfId="0" applyNumberFormat="1" applyFont="1" applyFill="1" applyBorder="1" applyAlignment="1">
      <alignment horizontal="center"/>
    </xf>
    <xf numFmtId="0" fontId="28" fillId="0" borderId="32" xfId="0" applyFont="1" applyBorder="1" applyAlignment="1">
      <alignment horizontal="center" wrapText="1"/>
    </xf>
    <xf numFmtId="0" fontId="28" fillId="0" borderId="29" xfId="0" applyFont="1" applyBorder="1" applyAlignment="1">
      <alignment horizontal="center" wrapText="1"/>
    </xf>
    <xf numFmtId="0" fontId="28" fillId="0" borderId="47" xfId="0" applyFont="1" applyBorder="1" applyAlignment="1">
      <alignment horizontal="center" wrapText="1"/>
    </xf>
    <xf numFmtId="0" fontId="28" fillId="0" borderId="0" xfId="0" applyFont="1" applyAlignment="1">
      <alignment horizontal="center" wrapText="1"/>
    </xf>
    <xf numFmtId="0" fontId="28" fillId="0" borderId="28" xfId="0" applyFont="1" applyBorder="1" applyAlignment="1">
      <alignment horizontal="center" wrapText="1"/>
    </xf>
    <xf numFmtId="0" fontId="28" fillId="0" borderId="31" xfId="0" applyFont="1" applyBorder="1" applyAlignment="1">
      <alignment horizontal="center" wrapText="1"/>
    </xf>
    <xf numFmtId="0" fontId="28" fillId="0" borderId="87" xfId="0" applyFont="1" applyBorder="1" applyAlignment="1">
      <alignment horizontal="center" wrapText="1"/>
    </xf>
    <xf numFmtId="0" fontId="28" fillId="0" borderId="30" xfId="0" applyFont="1" applyBorder="1" applyAlignment="1">
      <alignment horizontal="center" vertical="center"/>
    </xf>
    <xf numFmtId="0" fontId="28" fillId="0" borderId="76" xfId="0" applyFont="1" applyBorder="1" applyAlignment="1">
      <alignment horizontal="left"/>
    </xf>
    <xf numFmtId="0" fontId="28" fillId="0" borderId="84" xfId="0" applyFont="1" applyBorder="1" applyAlignment="1">
      <alignment horizontal="left"/>
    </xf>
    <xf numFmtId="0" fontId="28" fillId="0" borderId="61" xfId="0" applyFont="1" applyBorder="1" applyAlignment="1">
      <alignment horizontal="left"/>
    </xf>
    <xf numFmtId="165" fontId="28" fillId="0" borderId="38" xfId="0" applyNumberFormat="1" applyFont="1" applyBorder="1" applyAlignment="1">
      <alignment horizontal="center"/>
    </xf>
    <xf numFmtId="165" fontId="28" fillId="2" borderId="61" xfId="0" applyNumberFormat="1" applyFont="1" applyFill="1" applyBorder="1" applyAlignment="1">
      <alignment horizontal="center"/>
    </xf>
    <xf numFmtId="165" fontId="28" fillId="2" borderId="64" xfId="0" applyNumberFormat="1" applyFont="1" applyFill="1" applyBorder="1" applyAlignment="1">
      <alignment horizontal="center"/>
    </xf>
    <xf numFmtId="49" fontId="30" fillId="0" borderId="79" xfId="1" applyNumberFormat="1" applyFont="1" applyBorder="1" applyAlignment="1">
      <alignment horizontal="left" vertical="center" wrapText="1"/>
    </xf>
    <xf numFmtId="49" fontId="34" fillId="0" borderId="62" xfId="1" applyNumberFormat="1" applyFont="1" applyBorder="1" applyAlignment="1">
      <alignment horizontal="left" vertical="center" wrapText="1"/>
    </xf>
    <xf numFmtId="49" fontId="34" fillId="0" borderId="65" xfId="1" applyNumberFormat="1" applyFont="1" applyBorder="1" applyAlignment="1">
      <alignment horizontal="left" vertical="center" wrapText="1"/>
    </xf>
    <xf numFmtId="10" fontId="30" fillId="0" borderId="57" xfId="1" applyNumberFormat="1" applyFont="1" applyBorder="1" applyAlignment="1" applyProtection="1">
      <alignment horizontal="center" vertical="center"/>
      <protection locked="0"/>
    </xf>
    <xf numFmtId="10" fontId="30" fillId="0" borderId="10" xfId="1" applyNumberFormat="1" applyFont="1" applyBorder="1" applyAlignment="1" applyProtection="1">
      <alignment horizontal="center" vertical="center"/>
      <protection locked="0"/>
    </xf>
    <xf numFmtId="10" fontId="30" fillId="0" borderId="3" xfId="1" applyNumberFormat="1" applyFont="1" applyBorder="1" applyAlignment="1" applyProtection="1">
      <alignment horizontal="center" vertical="center"/>
      <protection locked="0"/>
    </xf>
    <xf numFmtId="49" fontId="27" fillId="0" borderId="41" xfId="0" applyNumberFormat="1" applyFont="1" applyBorder="1" applyAlignment="1">
      <alignment horizontal="right" vertical="center" textRotation="90"/>
    </xf>
    <xf numFmtId="10" fontId="28" fillId="0" borderId="13" xfId="0" applyNumberFormat="1" applyFont="1" applyBorder="1" applyAlignment="1">
      <alignment horizontal="center" vertical="center"/>
    </xf>
    <xf numFmtId="10" fontId="28" fillId="0" borderId="16" xfId="0" applyNumberFormat="1" applyFont="1" applyBorder="1" applyAlignment="1">
      <alignment horizontal="center" vertical="center"/>
    </xf>
    <xf numFmtId="10" fontId="28" fillId="0" borderId="14" xfId="0" applyNumberFormat="1" applyFont="1" applyBorder="1" applyAlignment="1">
      <alignment horizontal="center" vertical="center"/>
    </xf>
    <xf numFmtId="10" fontId="28" fillId="0" borderId="15" xfId="0" applyNumberFormat="1" applyFont="1" applyBorder="1" applyAlignment="1">
      <alignment horizontal="center" vertical="center"/>
    </xf>
    <xf numFmtId="10" fontId="28" fillId="0" borderId="7" xfId="0" applyNumberFormat="1" applyFont="1" applyBorder="1" applyAlignment="1">
      <alignment horizontal="center" vertical="center"/>
    </xf>
    <xf numFmtId="10" fontId="28" fillId="0" borderId="8" xfId="0" applyNumberFormat="1" applyFont="1" applyBorder="1" applyAlignment="1">
      <alignment horizontal="center" vertical="center"/>
    </xf>
    <xf numFmtId="0" fontId="28" fillId="0" borderId="55"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31" xfId="0" applyFont="1" applyBorder="1" applyAlignment="1">
      <alignment horizontal="left" vertical="center" wrapText="1"/>
    </xf>
    <xf numFmtId="0" fontId="28" fillId="0" borderId="50" xfId="0" applyFont="1" applyBorder="1" applyAlignment="1">
      <alignment horizontal="left" vertical="center" wrapText="1"/>
    </xf>
    <xf numFmtId="0" fontId="28" fillId="0" borderId="33" xfId="0" applyFont="1" applyBorder="1" applyAlignment="1">
      <alignment horizontal="left" vertical="center" wrapText="1"/>
    </xf>
    <xf numFmtId="0" fontId="28" fillId="0" borderId="27" xfId="0" applyFont="1" applyBorder="1" applyAlignment="1">
      <alignment horizontal="left" vertical="center" wrapText="1"/>
    </xf>
    <xf numFmtId="0" fontId="28" fillId="0" borderId="85" xfId="0" applyFont="1" applyBorder="1" applyAlignment="1">
      <alignment horizontal="left" vertical="center" wrapText="1"/>
    </xf>
    <xf numFmtId="0" fontId="28" fillId="0" borderId="87" xfId="0" applyFont="1" applyBorder="1" applyAlignment="1">
      <alignment horizontal="left" vertical="center" wrapText="1"/>
    </xf>
    <xf numFmtId="0" fontId="28" fillId="0" borderId="26" xfId="0" applyFont="1" applyBorder="1" applyAlignment="1">
      <alignment horizontal="left" vertical="center" wrapText="1"/>
    </xf>
    <xf numFmtId="0" fontId="28" fillId="0" borderId="88" xfId="0" applyFont="1" applyBorder="1" applyAlignment="1">
      <alignment horizontal="left" vertical="center" wrapText="1"/>
    </xf>
    <xf numFmtId="0" fontId="28" fillId="2" borderId="8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86" xfId="0" applyFont="1" applyBorder="1" applyAlignment="1">
      <alignment horizontal="left" vertical="center" wrapText="1"/>
    </xf>
    <xf numFmtId="49" fontId="28" fillId="2" borderId="81" xfId="0" applyNumberFormat="1" applyFont="1" applyFill="1" applyBorder="1" applyAlignment="1">
      <alignment horizontal="left" vertical="top"/>
    </xf>
    <xf numFmtId="49" fontId="28" fillId="2" borderId="82" xfId="0" applyNumberFormat="1" applyFont="1" applyFill="1" applyBorder="1" applyAlignment="1">
      <alignment horizontal="left" vertical="top"/>
    </xf>
    <xf numFmtId="49" fontId="28" fillId="2" borderId="76" xfId="0" applyNumberFormat="1" applyFont="1" applyFill="1" applyBorder="1" applyAlignment="1">
      <alignment horizontal="left" vertical="top"/>
    </xf>
    <xf numFmtId="49" fontId="28" fillId="2" borderId="84" xfId="0" applyNumberFormat="1" applyFont="1" applyFill="1" applyBorder="1" applyAlignment="1">
      <alignment horizontal="left" vertical="top"/>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55" xfId="0" applyFont="1" applyBorder="1" applyAlignment="1">
      <alignment horizontal="left" vertical="center" wrapText="1"/>
    </xf>
    <xf numFmtId="49" fontId="28" fillId="2" borderId="70" xfId="0" applyNumberFormat="1" applyFont="1" applyFill="1" applyBorder="1" applyAlignment="1">
      <alignment horizontal="left" vertical="top" wrapText="1"/>
    </xf>
    <xf numFmtId="49" fontId="28" fillId="2" borderId="63" xfId="0" applyNumberFormat="1" applyFont="1" applyFill="1" applyBorder="1" applyAlignment="1">
      <alignment horizontal="left" vertical="top" wrapText="1"/>
    </xf>
    <xf numFmtId="49" fontId="28" fillId="2" borderId="75" xfId="0" applyNumberFormat="1" applyFont="1" applyFill="1" applyBorder="1" applyAlignment="1">
      <alignment horizontal="left" vertical="top" wrapText="1"/>
    </xf>
    <xf numFmtId="49" fontId="28" fillId="2" borderId="38" xfId="0" applyNumberFormat="1" applyFont="1" applyFill="1" applyBorder="1" applyAlignment="1">
      <alignment horizontal="left" vertical="top" wrapText="1"/>
    </xf>
    <xf numFmtId="49" fontId="28" fillId="2" borderId="69" xfId="0" applyNumberFormat="1" applyFont="1" applyFill="1" applyBorder="1" applyAlignment="1">
      <alignment horizontal="left" vertical="top"/>
    </xf>
    <xf numFmtId="49" fontId="28" fillId="2" borderId="45" xfId="0" applyNumberFormat="1" applyFont="1" applyFill="1" applyBorder="1" applyAlignment="1">
      <alignment horizontal="left" vertical="top"/>
    </xf>
    <xf numFmtId="170" fontId="28" fillId="0" borderId="79" xfId="0" applyNumberFormat="1" applyFont="1" applyBorder="1" applyAlignment="1">
      <alignment horizontal="center" vertical="center"/>
    </xf>
    <xf numFmtId="0" fontId="27" fillId="2" borderId="30" xfId="0" applyFont="1" applyFill="1" applyBorder="1" applyAlignment="1">
      <alignment horizontal="center" vertical="center"/>
    </xf>
    <xf numFmtId="165" fontId="28" fillId="0" borderId="82" xfId="0" applyNumberFormat="1" applyFont="1" applyBorder="1" applyAlignment="1" applyProtection="1">
      <alignment horizontal="center" vertical="center"/>
      <protection locked="0"/>
    </xf>
    <xf numFmtId="165" fontId="28" fillId="0" borderId="1" xfId="0" applyNumberFormat="1" applyFont="1" applyBorder="1" applyAlignment="1" applyProtection="1">
      <alignment horizontal="center" vertical="center"/>
      <protection locked="0"/>
    </xf>
    <xf numFmtId="165" fontId="27" fillId="0" borderId="65" xfId="0" applyNumberFormat="1" applyFont="1" applyBorder="1" applyAlignment="1">
      <alignment horizontal="center" vertical="center"/>
    </xf>
    <xf numFmtId="0" fontId="28" fillId="0" borderId="58" xfId="0" applyFont="1" applyBorder="1" applyAlignment="1">
      <alignment horizontal="center" wrapText="1"/>
    </xf>
    <xf numFmtId="0" fontId="28" fillId="0" borderId="65" xfId="0" applyFont="1" applyBorder="1" applyAlignment="1">
      <alignment horizontal="center" wrapText="1"/>
    </xf>
    <xf numFmtId="165" fontId="28" fillId="0" borderId="67" xfId="0" applyNumberFormat="1" applyFont="1" applyBorder="1" applyAlignment="1" applyProtection="1">
      <alignment horizontal="center" vertical="center"/>
      <protection locked="0"/>
    </xf>
    <xf numFmtId="165" fontId="28" fillId="0" borderId="12" xfId="0" applyNumberFormat="1" applyFont="1" applyBorder="1" applyAlignment="1" applyProtection="1">
      <alignment horizontal="center" vertical="center"/>
      <protection locked="0"/>
    </xf>
    <xf numFmtId="165" fontId="28" fillId="0" borderId="84" xfId="0" applyNumberFormat="1" applyFont="1" applyBorder="1" applyAlignment="1" applyProtection="1">
      <alignment horizontal="center" vertical="center"/>
      <protection locked="0"/>
    </xf>
    <xf numFmtId="165" fontId="28" fillId="0" borderId="2" xfId="0" applyNumberFormat="1" applyFont="1" applyBorder="1" applyAlignment="1" applyProtection="1">
      <alignment horizontal="center" vertical="center"/>
      <protection locked="0"/>
    </xf>
    <xf numFmtId="165" fontId="29" fillId="0" borderId="79" xfId="0" applyNumberFormat="1" applyFont="1" applyBorder="1" applyAlignment="1">
      <alignment horizontal="center" vertical="center"/>
    </xf>
    <xf numFmtId="165" fontId="29" fillId="0" borderId="62" xfId="0" applyNumberFormat="1" applyFont="1" applyBorder="1" applyAlignment="1">
      <alignment horizontal="center" vertical="center"/>
    </xf>
    <xf numFmtId="165" fontId="29" fillId="0" borderId="58" xfId="0" applyNumberFormat="1" applyFont="1" applyBorder="1" applyAlignment="1">
      <alignment horizontal="center" vertical="center"/>
    </xf>
    <xf numFmtId="165" fontId="29" fillId="0" borderId="65" xfId="0" applyNumberFormat="1" applyFont="1" applyBorder="1" applyAlignment="1">
      <alignment horizontal="center" vertical="center"/>
    </xf>
    <xf numFmtId="165" fontId="28" fillId="0" borderId="46" xfId="0" applyNumberFormat="1" applyFont="1" applyBorder="1" applyAlignment="1" applyProtection="1">
      <alignment horizontal="center" vertical="center"/>
      <protection locked="0"/>
    </xf>
    <xf numFmtId="165" fontId="28" fillId="0" borderId="11" xfId="0" applyNumberFormat="1" applyFont="1" applyBorder="1" applyAlignment="1" applyProtection="1">
      <alignment horizontal="center" vertical="center"/>
      <protection locked="0"/>
    </xf>
    <xf numFmtId="0" fontId="28" fillId="0" borderId="43" xfId="0" applyFont="1" applyBorder="1" applyAlignment="1">
      <alignment horizontal="center"/>
    </xf>
    <xf numFmtId="0" fontId="28" fillId="0" borderId="48" xfId="0" applyFont="1" applyBorder="1" applyAlignment="1">
      <alignment horizontal="center"/>
    </xf>
    <xf numFmtId="0" fontId="28" fillId="0" borderId="51" xfId="0" applyFont="1" applyBorder="1" applyAlignment="1">
      <alignment horizontal="center"/>
    </xf>
    <xf numFmtId="0" fontId="28" fillId="0" borderId="30" xfId="0" applyFont="1" applyBorder="1" applyAlignment="1">
      <alignment horizontal="center"/>
    </xf>
    <xf numFmtId="0" fontId="27" fillId="0" borderId="79" xfId="0" applyFont="1" applyBorder="1" applyAlignment="1">
      <alignment vertical="top"/>
    </xf>
    <xf numFmtId="0" fontId="27" fillId="0" borderId="62" xfId="0" applyFont="1" applyBorder="1" applyAlignment="1">
      <alignment vertical="top"/>
    </xf>
    <xf numFmtId="10" fontId="28" fillId="0" borderId="57" xfId="0" applyNumberFormat="1" applyFont="1" applyBorder="1" applyAlignment="1">
      <alignment horizontal="center"/>
    </xf>
    <xf numFmtId="10" fontId="28" fillId="0" borderId="10" xfId="0" applyNumberFormat="1" applyFont="1" applyBorder="1" applyAlignment="1">
      <alignment horizontal="center"/>
    </xf>
    <xf numFmtId="10" fontId="28" fillId="0" borderId="3" xfId="0" applyNumberFormat="1" applyFont="1" applyBorder="1" applyAlignment="1">
      <alignment horizontal="center"/>
    </xf>
    <xf numFmtId="10" fontId="28" fillId="0" borderId="66" xfId="0" applyNumberFormat="1" applyFont="1" applyBorder="1" applyAlignment="1">
      <alignment horizontal="center"/>
    </xf>
    <xf numFmtId="165" fontId="29" fillId="0" borderId="28" xfId="0" applyNumberFormat="1" applyFont="1" applyBorder="1" applyAlignment="1">
      <alignment horizontal="center" vertical="center" wrapText="1"/>
    </xf>
    <xf numFmtId="165" fontId="29" fillId="0" borderId="29" xfId="0" applyNumberFormat="1" applyFont="1" applyBorder="1" applyAlignment="1">
      <alignment horizontal="center" vertical="center" wrapText="1"/>
    </xf>
    <xf numFmtId="165" fontId="29" fillId="0" borderId="31" xfId="0" applyNumberFormat="1" applyFont="1" applyBorder="1" applyAlignment="1">
      <alignment horizontal="center" vertical="center" wrapText="1"/>
    </xf>
    <xf numFmtId="165" fontId="29" fillId="0" borderId="0" xfId="0" applyNumberFormat="1" applyFont="1" applyAlignment="1">
      <alignment horizontal="center" vertical="center" wrapText="1"/>
    </xf>
    <xf numFmtId="165" fontId="29" fillId="0" borderId="87" xfId="0" applyNumberFormat="1" applyFont="1" applyBorder="1" applyAlignment="1">
      <alignment horizontal="center" vertical="center" wrapText="1"/>
    </xf>
    <xf numFmtId="165" fontId="29" fillId="0" borderId="26" xfId="0" applyNumberFormat="1" applyFont="1" applyBorder="1" applyAlignment="1">
      <alignment horizontal="center" vertical="center" wrapText="1"/>
    </xf>
    <xf numFmtId="165" fontId="29" fillId="0" borderId="13" xfId="0" applyNumberFormat="1" applyFont="1" applyBorder="1" applyAlignment="1">
      <alignment horizontal="center" vertical="center" wrapText="1"/>
    </xf>
    <xf numFmtId="165" fontId="29" fillId="0" borderId="14" xfId="0" applyNumberFormat="1" applyFont="1" applyBorder="1" applyAlignment="1">
      <alignment horizontal="center" vertical="center" wrapText="1"/>
    </xf>
    <xf numFmtId="165" fontId="29" fillId="0" borderId="7" xfId="0" applyNumberFormat="1" applyFont="1" applyBorder="1" applyAlignment="1">
      <alignment horizontal="center" vertical="center" wrapText="1"/>
    </xf>
    <xf numFmtId="165" fontId="29" fillId="0" borderId="32" xfId="0" applyNumberFormat="1" applyFont="1" applyBorder="1" applyAlignment="1">
      <alignment horizontal="center" vertical="center" wrapText="1"/>
    </xf>
    <xf numFmtId="165" fontId="29" fillId="0" borderId="40" xfId="0" applyNumberFormat="1" applyFont="1" applyBorder="1" applyAlignment="1">
      <alignment horizontal="center" vertical="center" wrapText="1"/>
    </xf>
    <xf numFmtId="165" fontId="29" fillId="0" borderId="47" xfId="0" applyNumberFormat="1" applyFont="1" applyBorder="1" applyAlignment="1">
      <alignment horizontal="center" vertical="center" wrapText="1"/>
    </xf>
    <xf numFmtId="165" fontId="29" fillId="0" borderId="41" xfId="0" applyNumberFormat="1" applyFont="1" applyBorder="1" applyAlignment="1">
      <alignment horizontal="center" vertical="center" wrapText="1"/>
    </xf>
    <xf numFmtId="165" fontId="29" fillId="0" borderId="53" xfId="0" applyNumberFormat="1" applyFont="1" applyBorder="1" applyAlignment="1">
      <alignment horizontal="center" vertical="center" wrapText="1"/>
    </xf>
    <xf numFmtId="165" fontId="29" fillId="0" borderId="44" xfId="0" applyNumberFormat="1" applyFont="1" applyBorder="1" applyAlignment="1">
      <alignment horizontal="center" vertical="center" wrapText="1"/>
    </xf>
    <xf numFmtId="9" fontId="28" fillId="2" borderId="11" xfId="0" applyNumberFormat="1" applyFont="1" applyFill="1" applyBorder="1" applyAlignment="1">
      <alignment horizontal="center" vertical="center" wrapText="1"/>
    </xf>
    <xf numFmtId="9" fontId="28" fillId="2" borderId="15" xfId="0" applyNumberFormat="1" applyFont="1" applyFill="1" applyBorder="1" applyAlignment="1">
      <alignment horizontal="center" vertical="center" wrapText="1"/>
    </xf>
    <xf numFmtId="9" fontId="28" fillId="2" borderId="5" xfId="0" applyNumberFormat="1" applyFont="1" applyFill="1" applyBorder="1" applyAlignment="1">
      <alignment horizontal="center" vertical="center" wrapText="1"/>
    </xf>
    <xf numFmtId="0" fontId="28" fillId="0" borderId="43" xfId="0" applyFont="1" applyBorder="1" applyAlignment="1">
      <alignment horizontal="center" vertical="center"/>
    </xf>
    <xf numFmtId="0" fontId="28" fillId="0" borderId="48" xfId="0" applyFont="1" applyBorder="1" applyAlignment="1">
      <alignment horizontal="center" vertical="center"/>
    </xf>
    <xf numFmtId="0" fontId="28" fillId="0" borderId="51" xfId="0" applyFont="1" applyBorder="1" applyAlignment="1">
      <alignment horizontal="center" vertical="center"/>
    </xf>
    <xf numFmtId="10" fontId="28" fillId="0" borderId="65" xfId="0" applyNumberFormat="1" applyFont="1" applyBorder="1" applyAlignment="1">
      <alignment horizontal="center"/>
    </xf>
    <xf numFmtId="165" fontId="29" fillId="0" borderId="55" xfId="0" applyNumberFormat="1" applyFont="1" applyBorder="1" applyAlignment="1">
      <alignment horizontal="center" vertical="center" wrapText="1"/>
    </xf>
    <xf numFmtId="165" fontId="29" fillId="0" borderId="50" xfId="0" applyNumberFormat="1" applyFont="1" applyBorder="1" applyAlignment="1">
      <alignment horizontal="center" vertical="center" wrapText="1"/>
    </xf>
    <xf numFmtId="165" fontId="29" fillId="0" borderId="88" xfId="0" applyNumberFormat="1" applyFont="1" applyBorder="1" applyAlignment="1">
      <alignment horizontal="center" vertical="center" wrapText="1"/>
    </xf>
    <xf numFmtId="49" fontId="28" fillId="2" borderId="83" xfId="0" applyNumberFormat="1" applyFont="1" applyFill="1" applyBorder="1" applyAlignment="1">
      <alignment horizontal="left" vertical="top"/>
    </xf>
    <xf numFmtId="49" fontId="28" fillId="2" borderId="46" xfId="0" applyNumberFormat="1" applyFont="1" applyFill="1" applyBorder="1" applyAlignment="1">
      <alignment horizontal="left" vertical="top"/>
    </xf>
    <xf numFmtId="49" fontId="28" fillId="2" borderId="4" xfId="0" applyNumberFormat="1" applyFont="1" applyFill="1" applyBorder="1" applyAlignment="1">
      <alignment horizontal="left" vertical="top" wrapText="1"/>
    </xf>
    <xf numFmtId="49" fontId="28" fillId="2" borderId="6" xfId="0" applyNumberFormat="1" applyFont="1" applyFill="1" applyBorder="1" applyAlignment="1">
      <alignment horizontal="left" vertical="top" wrapText="1"/>
    </xf>
    <xf numFmtId="0" fontId="28" fillId="0" borderId="72" xfId="0" applyFont="1" applyBorder="1" applyAlignment="1">
      <alignment horizontal="center" vertical="center"/>
    </xf>
    <xf numFmtId="0" fontId="28" fillId="0" borderId="74" xfId="0" applyFont="1" applyBorder="1" applyAlignment="1">
      <alignment horizontal="center" vertical="center"/>
    </xf>
    <xf numFmtId="0" fontId="27" fillId="2" borderId="72" xfId="0" applyFont="1" applyFill="1" applyBorder="1" applyAlignment="1">
      <alignment horizontal="center" vertical="center"/>
    </xf>
    <xf numFmtId="0" fontId="27" fillId="2" borderId="74" xfId="0" applyFont="1" applyFill="1" applyBorder="1" applyAlignment="1">
      <alignment horizontal="center" vertical="center"/>
    </xf>
    <xf numFmtId="165" fontId="29" fillId="0" borderId="87" xfId="0" applyNumberFormat="1" applyFont="1" applyBorder="1" applyAlignment="1">
      <alignment horizontal="center" vertical="center"/>
    </xf>
    <xf numFmtId="165" fontId="29" fillId="0" borderId="26" xfId="0" applyNumberFormat="1" applyFont="1" applyBorder="1" applyAlignment="1">
      <alignment horizontal="center" vertical="center"/>
    </xf>
    <xf numFmtId="10" fontId="28" fillId="0" borderId="80" xfId="0" applyNumberFormat="1" applyFont="1" applyBorder="1" applyAlignment="1">
      <alignment horizontal="center" vertical="center" wrapText="1"/>
    </xf>
    <xf numFmtId="10" fontId="28" fillId="0" borderId="81" xfId="0" applyNumberFormat="1" applyFont="1" applyBorder="1" applyAlignment="1">
      <alignment horizontal="center" vertical="center" wrapText="1"/>
    </xf>
    <xf numFmtId="7" fontId="28" fillId="0" borderId="67" xfId="0" applyNumberFormat="1" applyFont="1" applyBorder="1" applyAlignment="1">
      <alignment horizontal="center" vertical="center"/>
    </xf>
    <xf numFmtId="7" fontId="28" fillId="0" borderId="12" xfId="0" applyNumberFormat="1" applyFont="1" applyBorder="1" applyAlignment="1">
      <alignment horizontal="center" vertical="center"/>
    </xf>
    <xf numFmtId="7" fontId="28" fillId="0" borderId="82" xfId="0" applyNumberFormat="1" applyFont="1" applyBorder="1" applyAlignment="1">
      <alignment horizontal="center" vertical="center"/>
    </xf>
    <xf numFmtId="7" fontId="28" fillId="0" borderId="1" xfId="0" applyNumberFormat="1" applyFont="1" applyBorder="1" applyAlignment="1">
      <alignment horizontal="center" vertical="center"/>
    </xf>
    <xf numFmtId="0" fontId="27" fillId="0" borderId="41" xfId="0" applyFont="1" applyBorder="1" applyAlignment="1">
      <alignment horizontal="right" vertical="center"/>
    </xf>
    <xf numFmtId="165" fontId="28" fillId="0" borderId="6" xfId="0" applyNumberFormat="1" applyFont="1" applyBorder="1" applyAlignment="1" applyProtection="1">
      <alignment horizontal="center" vertical="center"/>
      <protection locked="0"/>
    </xf>
    <xf numFmtId="165" fontId="28" fillId="0" borderId="5" xfId="0" applyNumberFormat="1" applyFont="1" applyBorder="1" applyAlignment="1" applyProtection="1">
      <alignment horizontal="center" vertical="center"/>
      <protection locked="0"/>
    </xf>
    <xf numFmtId="7" fontId="28" fillId="0" borderId="82" xfId="0" applyNumberFormat="1" applyFont="1" applyBorder="1" applyAlignment="1">
      <alignment horizontal="center" vertical="center" wrapText="1"/>
    </xf>
    <xf numFmtId="7" fontId="28" fillId="0" borderId="1" xfId="0" applyNumberFormat="1" applyFont="1" applyBorder="1" applyAlignment="1">
      <alignment horizontal="center" vertical="center" wrapText="1"/>
    </xf>
    <xf numFmtId="0" fontId="28" fillId="0" borderId="78" xfId="0" applyFont="1" applyBorder="1" applyAlignment="1">
      <alignment horizontal="center" vertical="center"/>
    </xf>
    <xf numFmtId="0" fontId="27" fillId="2" borderId="78" xfId="0" applyFont="1" applyFill="1" applyBorder="1" applyAlignment="1">
      <alignment horizontal="center" vertical="center"/>
    </xf>
    <xf numFmtId="0" fontId="27" fillId="0" borderId="41" xfId="0" applyFont="1" applyBorder="1" applyAlignment="1">
      <alignment horizontal="right" textRotation="90"/>
    </xf>
    <xf numFmtId="0" fontId="27" fillId="0" borderId="66" xfId="0" applyFont="1" applyBorder="1" applyAlignment="1">
      <alignment vertical="top"/>
    </xf>
    <xf numFmtId="10" fontId="28" fillId="0" borderId="76" xfId="0" applyNumberFormat="1" applyFont="1" applyBorder="1" applyAlignment="1">
      <alignment horizontal="center" vertical="center" wrapText="1"/>
    </xf>
    <xf numFmtId="7" fontId="28" fillId="0" borderId="84" xfId="0" applyNumberFormat="1" applyFont="1" applyBorder="1" applyAlignment="1">
      <alignment horizontal="center" vertical="center"/>
    </xf>
    <xf numFmtId="7" fontId="28" fillId="0" borderId="2" xfId="0" applyNumberFormat="1" applyFont="1" applyBorder="1" applyAlignment="1">
      <alignment horizontal="center" vertical="center"/>
    </xf>
    <xf numFmtId="165" fontId="28" fillId="0" borderId="39" xfId="0" applyNumberFormat="1" applyFont="1" applyBorder="1" applyAlignment="1" applyProtection="1">
      <alignment horizontal="center" vertical="center"/>
      <protection locked="0"/>
    </xf>
    <xf numFmtId="165" fontId="28" fillId="0" borderId="42" xfId="0" applyNumberFormat="1" applyFont="1" applyBorder="1" applyAlignment="1" applyProtection="1">
      <alignment horizontal="center" vertical="center"/>
      <protection locked="0"/>
    </xf>
    <xf numFmtId="165" fontId="28" fillId="0" borderId="47" xfId="0" applyNumberFormat="1" applyFont="1" applyBorder="1" applyAlignment="1" applyProtection="1">
      <alignment horizontal="center" vertical="center"/>
      <protection locked="0"/>
    </xf>
    <xf numFmtId="165" fontId="28" fillId="0" borderId="41" xfId="0" applyNumberFormat="1" applyFont="1" applyBorder="1" applyAlignment="1" applyProtection="1">
      <alignment horizontal="center" vertical="center"/>
      <protection locked="0"/>
    </xf>
    <xf numFmtId="165" fontId="28" fillId="0" borderId="34" xfId="0" applyNumberFormat="1" applyFont="1" applyBorder="1" applyAlignment="1" applyProtection="1">
      <alignment horizontal="center" vertical="center"/>
      <protection locked="0"/>
    </xf>
    <xf numFmtId="165" fontId="28" fillId="0" borderId="35" xfId="0" applyNumberFormat="1" applyFont="1" applyBorder="1" applyAlignment="1" applyProtection="1">
      <alignment horizontal="center" vertical="center"/>
      <protection locked="0"/>
    </xf>
    <xf numFmtId="165" fontId="28" fillId="0" borderId="32" xfId="0" applyNumberFormat="1" applyFont="1" applyBorder="1" applyAlignment="1" applyProtection="1">
      <alignment horizontal="center" vertical="center"/>
      <protection locked="0"/>
    </xf>
    <xf numFmtId="165" fontId="28" fillId="0" borderId="40" xfId="0" applyNumberFormat="1" applyFont="1" applyBorder="1" applyAlignment="1" applyProtection="1">
      <alignment horizontal="center" vertical="center"/>
      <protection locked="0"/>
    </xf>
    <xf numFmtId="49" fontId="28" fillId="2" borderId="75" xfId="0" applyNumberFormat="1" applyFont="1" applyFill="1" applyBorder="1" applyAlignment="1">
      <alignment horizontal="left" vertical="top"/>
    </xf>
    <xf numFmtId="49" fontId="28" fillId="2" borderId="38" xfId="0" applyNumberFormat="1" applyFont="1" applyFill="1" applyBorder="1" applyAlignment="1">
      <alignment horizontal="left" vertical="top"/>
    </xf>
    <xf numFmtId="49" fontId="28" fillId="2" borderId="77" xfId="0" applyNumberFormat="1" applyFont="1" applyFill="1" applyBorder="1" applyAlignment="1">
      <alignment horizontal="left" vertical="top"/>
    </xf>
    <xf numFmtId="165" fontId="28" fillId="0" borderId="61" xfId="0" applyNumberFormat="1" applyFont="1" applyBorder="1" applyAlignment="1" applyProtection="1">
      <alignment horizontal="center" vertical="center"/>
      <protection locked="0"/>
    </xf>
    <xf numFmtId="165" fontId="28" fillId="0" borderId="64" xfId="0" applyNumberFormat="1" applyFont="1" applyBorder="1" applyAlignment="1" applyProtection="1">
      <alignment horizontal="center" vertical="center"/>
      <protection locked="0"/>
    </xf>
    <xf numFmtId="0" fontId="28" fillId="4" borderId="32" xfId="0" applyFont="1" applyFill="1" applyBorder="1" applyAlignment="1">
      <alignment horizontal="center" vertical="center"/>
    </xf>
    <xf numFmtId="0" fontId="28" fillId="4" borderId="47" xfId="0" applyFont="1" applyFill="1" applyBorder="1" applyAlignment="1">
      <alignment horizontal="center" vertical="center"/>
    </xf>
    <xf numFmtId="0" fontId="28" fillId="4" borderId="34" xfId="0" applyFont="1" applyFill="1" applyBorder="1" applyAlignment="1">
      <alignment horizontal="center" vertical="center"/>
    </xf>
    <xf numFmtId="0" fontId="28" fillId="4" borderId="46"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49" fontId="28" fillId="2" borderId="87" xfId="0" applyNumberFormat="1" applyFont="1" applyFill="1" applyBorder="1" applyAlignment="1">
      <alignment horizontal="left" vertical="top" wrapText="1"/>
    </xf>
    <xf numFmtId="49" fontId="28" fillId="2" borderId="26" xfId="0" applyNumberFormat="1" applyFont="1" applyFill="1" applyBorder="1" applyAlignment="1">
      <alignment horizontal="left" vertical="top" wrapText="1"/>
    </xf>
    <xf numFmtId="49" fontId="28" fillId="2" borderId="88" xfId="0" applyNumberFormat="1" applyFont="1" applyFill="1" applyBorder="1" applyAlignment="1">
      <alignment horizontal="left" vertical="top" wrapText="1"/>
    </xf>
    <xf numFmtId="165" fontId="28" fillId="0" borderId="53" xfId="0" applyNumberFormat="1" applyFont="1" applyBorder="1" applyAlignment="1" applyProtection="1">
      <alignment horizontal="center" vertical="center"/>
      <protection locked="0"/>
    </xf>
    <xf numFmtId="165" fontId="28" fillId="0" borderId="44" xfId="0" applyNumberFormat="1" applyFont="1" applyBorder="1" applyAlignment="1" applyProtection="1">
      <alignment horizontal="center" vertical="center"/>
      <protection locked="0"/>
    </xf>
    <xf numFmtId="0" fontId="27" fillId="0" borderId="28" xfId="0" applyFont="1" applyBorder="1" applyAlignment="1">
      <alignment horizontal="right" vertical="center" wrapText="1"/>
    </xf>
    <xf numFmtId="0" fontId="27" fillId="0" borderId="29" xfId="0" applyFont="1" applyBorder="1" applyAlignment="1">
      <alignment horizontal="right" vertical="center" wrapText="1"/>
    </xf>
    <xf numFmtId="0" fontId="27" fillId="0" borderId="87" xfId="0" applyFont="1" applyBorder="1" applyAlignment="1">
      <alignment horizontal="right" vertical="center" wrapText="1"/>
    </xf>
    <xf numFmtId="0" fontId="27" fillId="0" borderId="26" xfId="0" applyFont="1" applyBorder="1" applyAlignment="1">
      <alignment horizontal="right" vertical="center" wrapText="1"/>
    </xf>
    <xf numFmtId="10" fontId="27" fillId="0" borderId="54" xfId="0" applyNumberFormat="1" applyFont="1" applyBorder="1" applyAlignment="1">
      <alignment horizontal="center" vertical="center" wrapText="1"/>
    </xf>
    <xf numFmtId="10" fontId="27" fillId="0" borderId="52" xfId="0" applyNumberFormat="1" applyFont="1" applyBorder="1" applyAlignment="1">
      <alignment horizontal="center" vertical="center" wrapText="1"/>
    </xf>
    <xf numFmtId="165" fontId="27" fillId="0" borderId="13" xfId="0" applyNumberFormat="1" applyFont="1" applyBorder="1" applyAlignment="1">
      <alignment horizontal="center" vertical="center" wrapText="1"/>
    </xf>
    <xf numFmtId="165" fontId="27" fillId="0" borderId="7" xfId="0" applyNumberFormat="1" applyFont="1" applyBorder="1" applyAlignment="1">
      <alignment horizontal="center" vertical="center" wrapText="1"/>
    </xf>
    <xf numFmtId="165" fontId="31" fillId="0" borderId="55" xfId="0" applyNumberFormat="1" applyFont="1" applyBorder="1" applyAlignment="1">
      <alignment horizontal="center" vertical="center" wrapText="1"/>
    </xf>
    <xf numFmtId="165" fontId="31" fillId="0" borderId="88" xfId="0" applyNumberFormat="1" applyFont="1" applyBorder="1" applyAlignment="1">
      <alignment horizontal="center" vertical="center" wrapText="1"/>
    </xf>
    <xf numFmtId="165" fontId="27" fillId="0" borderId="32" xfId="0" applyNumberFormat="1" applyFont="1" applyBorder="1" applyAlignment="1">
      <alignment horizontal="center" vertical="center" wrapText="1"/>
    </xf>
    <xf numFmtId="165" fontId="27" fillId="0" borderId="53" xfId="0" applyNumberFormat="1" applyFont="1" applyBorder="1" applyAlignment="1">
      <alignment horizontal="center" vertical="center" wrapText="1"/>
    </xf>
    <xf numFmtId="0" fontId="28" fillId="4" borderId="81" xfId="0" applyFont="1" applyFill="1" applyBorder="1" applyAlignment="1">
      <alignment horizontal="left" vertical="top" wrapText="1"/>
    </xf>
    <xf numFmtId="0" fontId="28" fillId="4" borderId="82" xfId="0" applyFont="1" applyFill="1" applyBorder="1" applyAlignment="1">
      <alignment horizontal="left" vertical="top" wrapText="1"/>
    </xf>
    <xf numFmtId="9" fontId="28" fillId="2" borderId="82" xfId="0" applyNumberFormat="1" applyFont="1" applyFill="1" applyBorder="1" applyAlignment="1">
      <alignment horizontal="center" vertical="center"/>
    </xf>
    <xf numFmtId="9" fontId="28" fillId="2" borderId="46" xfId="0" applyNumberFormat="1" applyFont="1" applyFill="1" applyBorder="1" applyAlignment="1">
      <alignment horizontal="center" vertical="center"/>
    </xf>
    <xf numFmtId="3" fontId="28" fillId="0" borderId="82" xfId="0" applyNumberFormat="1" applyFont="1" applyBorder="1" applyAlignment="1" applyProtection="1">
      <alignment horizontal="center" vertical="center"/>
      <protection locked="0"/>
    </xf>
    <xf numFmtId="165" fontId="28" fillId="0" borderId="82" xfId="0" applyNumberFormat="1" applyFont="1" applyBorder="1" applyAlignment="1">
      <alignment horizontal="center" vertical="center"/>
    </xf>
    <xf numFmtId="0" fontId="28" fillId="0" borderId="82" xfId="0" applyFont="1" applyBorder="1" applyAlignment="1">
      <alignment horizontal="center" vertical="center"/>
    </xf>
    <xf numFmtId="0" fontId="27" fillId="2" borderId="1" xfId="0" applyFont="1" applyFill="1" applyBorder="1" applyAlignment="1">
      <alignment horizontal="center" vertical="center"/>
    </xf>
    <xf numFmtId="9" fontId="28" fillId="2" borderId="14" xfId="0" applyNumberFormat="1" applyFont="1" applyFill="1" applyBorder="1" applyAlignment="1">
      <alignment horizontal="center" vertical="center"/>
    </xf>
    <xf numFmtId="9" fontId="28" fillId="2" borderId="6" xfId="0" applyNumberFormat="1" applyFont="1" applyFill="1" applyBorder="1" applyAlignment="1">
      <alignment horizontal="center" vertical="center"/>
    </xf>
    <xf numFmtId="0" fontId="28" fillId="4" borderId="76" xfId="0" applyFont="1" applyFill="1" applyBorder="1" applyAlignment="1">
      <alignment horizontal="left" vertical="top" wrapText="1"/>
    </xf>
    <xf numFmtId="0" fontId="28" fillId="4" borderId="84" xfId="0" applyFont="1" applyFill="1" applyBorder="1" applyAlignment="1">
      <alignment horizontal="left" vertical="top" wrapText="1"/>
    </xf>
    <xf numFmtId="9" fontId="28" fillId="2" borderId="7" xfId="0" applyNumberFormat="1" applyFont="1" applyFill="1" applyBorder="1" applyAlignment="1">
      <alignment horizontal="center" vertical="center"/>
    </xf>
    <xf numFmtId="3" fontId="28" fillId="0" borderId="84" xfId="0" applyNumberFormat="1" applyFont="1" applyBorder="1" applyAlignment="1" applyProtection="1">
      <alignment horizontal="center" vertical="center"/>
      <protection locked="0"/>
    </xf>
    <xf numFmtId="165" fontId="28" fillId="0" borderId="84" xfId="0" applyNumberFormat="1" applyFont="1" applyBorder="1" applyAlignment="1">
      <alignment horizontal="center" vertical="center"/>
    </xf>
    <xf numFmtId="0" fontId="28" fillId="0" borderId="84" xfId="0" applyFont="1" applyBorder="1" applyAlignment="1">
      <alignment horizontal="center" vertical="center"/>
    </xf>
    <xf numFmtId="0" fontId="27" fillId="2" borderId="2" xfId="0" applyFont="1" applyFill="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53" fillId="0" borderId="67" xfId="0" applyFont="1" applyBorder="1" applyAlignment="1">
      <alignment horizontal="center" vertical="center" wrapText="1"/>
    </xf>
    <xf numFmtId="0" fontId="53" fillId="0" borderId="82" xfId="0" applyFont="1" applyBorder="1" applyAlignment="1">
      <alignment horizontal="center" vertical="center" wrapText="1"/>
    </xf>
    <xf numFmtId="0" fontId="53" fillId="0" borderId="84" xfId="0" applyFont="1" applyBorder="1" applyAlignment="1">
      <alignment horizontal="center" vertical="center" wrapText="1"/>
    </xf>
    <xf numFmtId="0" fontId="28" fillId="0" borderId="7" xfId="0" applyFont="1" applyBorder="1" applyAlignment="1">
      <alignment horizontal="center" vertical="center" wrapText="1"/>
    </xf>
    <xf numFmtId="49" fontId="30" fillId="0" borderId="12"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0" fontId="28" fillId="4" borderId="28" xfId="0" applyFont="1" applyFill="1" applyBorder="1" applyAlignment="1">
      <alignment horizontal="left" vertical="top" wrapText="1"/>
    </xf>
    <xf numFmtId="0" fontId="28" fillId="4" borderId="29" xfId="0" applyFont="1" applyFill="1" applyBorder="1" applyAlignment="1">
      <alignment horizontal="left" vertical="top" wrapText="1"/>
    </xf>
    <xf numFmtId="0" fontId="28" fillId="4" borderId="55" xfId="0" applyFont="1" applyFill="1" applyBorder="1" applyAlignment="1">
      <alignment horizontal="left" vertical="top" wrapText="1"/>
    </xf>
    <xf numFmtId="0" fontId="28" fillId="4" borderId="31" xfId="0" applyFont="1" applyFill="1" applyBorder="1" applyAlignment="1">
      <alignment horizontal="left" vertical="top" wrapText="1"/>
    </xf>
    <xf numFmtId="0" fontId="28" fillId="4" borderId="0" xfId="0" applyFont="1" applyFill="1" applyAlignment="1">
      <alignment horizontal="left" vertical="top" wrapText="1"/>
    </xf>
    <xf numFmtId="0" fontId="28" fillId="4" borderId="50" xfId="0" applyFont="1" applyFill="1" applyBorder="1" applyAlignment="1">
      <alignment horizontal="left" vertical="top" wrapText="1"/>
    </xf>
    <xf numFmtId="0" fontId="28" fillId="4" borderId="33" xfId="0" applyFont="1" applyFill="1" applyBorder="1" applyAlignment="1">
      <alignment horizontal="left" vertical="top" wrapText="1"/>
    </xf>
    <xf numFmtId="0" fontId="28" fillId="4" borderId="27" xfId="0" applyFont="1" applyFill="1" applyBorder="1" applyAlignment="1">
      <alignment horizontal="left" vertical="top" wrapText="1"/>
    </xf>
    <xf numFmtId="0" fontId="28" fillId="4" borderId="85" xfId="0" applyFont="1" applyFill="1" applyBorder="1" applyAlignment="1">
      <alignment horizontal="left" vertical="top" wrapText="1"/>
    </xf>
    <xf numFmtId="3" fontId="28" fillId="0" borderId="13" xfId="0" applyNumberFormat="1" applyFont="1" applyBorder="1" applyAlignment="1" applyProtection="1">
      <alignment horizontal="center" vertical="center"/>
      <protection locked="0"/>
    </xf>
    <xf numFmtId="3" fontId="28" fillId="0" borderId="14" xfId="0" applyNumberFormat="1" applyFont="1" applyBorder="1" applyAlignment="1" applyProtection="1">
      <alignment horizontal="center" vertical="center"/>
      <protection locked="0"/>
    </xf>
    <xf numFmtId="3" fontId="28" fillId="0" borderId="6" xfId="0" applyNumberFormat="1" applyFont="1" applyBorder="1" applyAlignment="1" applyProtection="1">
      <alignment horizontal="center" vertical="center"/>
      <protection locked="0"/>
    </xf>
    <xf numFmtId="165" fontId="28" fillId="0" borderId="13" xfId="0" applyNumberFormat="1" applyFont="1" applyBorder="1" applyAlignment="1" applyProtection="1">
      <alignment horizontal="center" vertical="center"/>
      <protection locked="0"/>
    </xf>
    <xf numFmtId="165" fontId="28" fillId="0" borderId="14" xfId="0" applyNumberFormat="1" applyFont="1" applyBorder="1" applyAlignment="1" applyProtection="1">
      <alignment horizontal="center" vertical="center"/>
      <protection locked="0"/>
    </xf>
    <xf numFmtId="165" fontId="28" fillId="0" borderId="6" xfId="0" applyNumberFormat="1" applyFont="1" applyBorder="1" applyAlignment="1">
      <alignment horizontal="center" vertical="center"/>
    </xf>
    <xf numFmtId="0" fontId="28" fillId="0" borderId="6" xfId="0" applyFont="1" applyBorder="1" applyAlignment="1">
      <alignment horizontal="center" vertical="center"/>
    </xf>
    <xf numFmtId="0" fontId="27" fillId="2" borderId="1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5" xfId="0" applyFont="1" applyFill="1" applyBorder="1" applyAlignment="1">
      <alignment horizontal="center" vertical="center"/>
    </xf>
    <xf numFmtId="0" fontId="28" fillId="4" borderId="83" xfId="0" applyFont="1" applyFill="1" applyBorder="1" applyAlignment="1">
      <alignment horizontal="left" vertical="top" wrapText="1"/>
    </xf>
    <xf numFmtId="0" fontId="28" fillId="4" borderId="46" xfId="0" applyFont="1" applyFill="1" applyBorder="1" applyAlignment="1">
      <alignment horizontal="left" vertical="top" wrapText="1"/>
    </xf>
    <xf numFmtId="3" fontId="28" fillId="0" borderId="46" xfId="0" applyNumberFormat="1" applyFont="1" applyBorder="1" applyAlignment="1" applyProtection="1">
      <alignment horizontal="center" vertical="center"/>
      <protection locked="0"/>
    </xf>
    <xf numFmtId="165" fontId="28" fillId="0" borderId="46" xfId="0" applyNumberFormat="1" applyFont="1" applyBorder="1" applyAlignment="1">
      <alignment horizontal="center" vertical="center"/>
    </xf>
    <xf numFmtId="0" fontId="27" fillId="2" borderId="11" xfId="0" applyFont="1" applyFill="1" applyBorder="1" applyAlignment="1">
      <alignment horizontal="center" vertical="center"/>
    </xf>
    <xf numFmtId="0" fontId="28" fillId="4" borderId="4" xfId="0" applyFont="1" applyFill="1" applyBorder="1" applyAlignment="1">
      <alignment horizontal="left" vertical="top" wrapText="1"/>
    </xf>
    <xf numFmtId="0" fontId="28" fillId="4" borderId="6" xfId="0" applyFont="1" applyFill="1" applyBorder="1" applyAlignment="1">
      <alignment horizontal="left" vertical="top" wrapText="1"/>
    </xf>
    <xf numFmtId="0" fontId="28" fillId="4" borderId="36" xfId="0" applyFont="1" applyFill="1" applyBorder="1" applyAlignment="1">
      <alignment horizontal="left" vertical="top" wrapText="1"/>
    </xf>
    <xf numFmtId="0" fontId="28" fillId="4" borderId="37" xfId="0" applyFont="1" applyFill="1" applyBorder="1" applyAlignment="1">
      <alignment horizontal="left" vertical="top" wrapText="1"/>
    </xf>
    <xf numFmtId="0" fontId="28" fillId="4" borderId="86" xfId="0" applyFont="1" applyFill="1" applyBorder="1" applyAlignment="1">
      <alignment horizontal="left" vertical="top" wrapText="1"/>
    </xf>
    <xf numFmtId="0" fontId="28" fillId="4" borderId="80" xfId="0" applyFont="1" applyFill="1" applyBorder="1" applyAlignment="1">
      <alignment horizontal="left" vertical="top" wrapText="1"/>
    </xf>
    <xf numFmtId="0" fontId="28" fillId="4" borderId="67" xfId="0" applyFont="1" applyFill="1" applyBorder="1" applyAlignment="1">
      <alignment horizontal="left" vertical="top" wrapText="1"/>
    </xf>
    <xf numFmtId="3" fontId="28" fillId="0" borderId="67" xfId="0" applyNumberFormat="1" applyFont="1" applyBorder="1" applyAlignment="1" applyProtection="1">
      <alignment horizontal="center" vertical="center"/>
      <protection locked="0"/>
    </xf>
    <xf numFmtId="165" fontId="28" fillId="0" borderId="67" xfId="0" applyNumberFormat="1" applyFont="1" applyBorder="1" applyAlignment="1">
      <alignment horizontal="center" vertical="center"/>
    </xf>
    <xf numFmtId="0" fontId="27" fillId="2" borderId="12" xfId="0" applyFont="1" applyFill="1" applyBorder="1" applyAlignment="1">
      <alignment horizontal="center" vertical="center"/>
    </xf>
    <xf numFmtId="0" fontId="28" fillId="0" borderId="14" xfId="0" applyFont="1" applyBorder="1" applyAlignment="1">
      <alignment horizontal="center" vertical="center"/>
    </xf>
    <xf numFmtId="0" fontId="28" fillId="0" borderId="67" xfId="0" applyFont="1" applyBorder="1" applyAlignment="1">
      <alignment horizontal="center" vertical="center" wrapText="1"/>
    </xf>
    <xf numFmtId="0" fontId="28" fillId="0" borderId="82" xfId="0" applyFont="1" applyBorder="1" applyAlignment="1">
      <alignment horizontal="center" vertical="center" wrapText="1"/>
    </xf>
    <xf numFmtId="165" fontId="27" fillId="0" borderId="31" xfId="0" applyNumberFormat="1" applyFont="1" applyBorder="1" applyAlignment="1">
      <alignment horizontal="center" wrapText="1"/>
    </xf>
    <xf numFmtId="165" fontId="27" fillId="0" borderId="0" xfId="0" applyNumberFormat="1" applyFont="1" applyAlignment="1">
      <alignment horizontal="center" wrapText="1"/>
    </xf>
    <xf numFmtId="165" fontId="27" fillId="0" borderId="41" xfId="0" applyNumberFormat="1" applyFont="1" applyBorder="1" applyAlignment="1">
      <alignment horizontal="center" wrapText="1"/>
    </xf>
    <xf numFmtId="165" fontId="35" fillId="3" borderId="87" xfId="0" applyNumberFormat="1" applyFont="1" applyFill="1" applyBorder="1" applyAlignment="1">
      <alignment horizontal="center" vertical="center" wrapText="1"/>
    </xf>
    <xf numFmtId="165" fontId="35" fillId="3" borderId="26" xfId="0" applyNumberFormat="1" applyFont="1" applyFill="1" applyBorder="1" applyAlignment="1">
      <alignment horizontal="center" vertical="center" wrapText="1"/>
    </xf>
    <xf numFmtId="165" fontId="35" fillId="3" borderId="44" xfId="0" applyNumberFormat="1" applyFont="1" applyFill="1" applyBorder="1" applyAlignment="1">
      <alignment horizontal="center" vertical="center" wrapText="1"/>
    </xf>
    <xf numFmtId="0" fontId="28" fillId="44" borderId="81" xfId="0" applyFont="1" applyFill="1" applyBorder="1" applyAlignment="1">
      <alignment horizontal="left" vertical="top" wrapText="1"/>
    </xf>
    <xf numFmtId="0" fontId="28" fillId="44" borderId="82" xfId="0" applyFont="1" applyFill="1" applyBorder="1" applyAlignment="1">
      <alignment horizontal="left" vertical="top" wrapText="1"/>
    </xf>
    <xf numFmtId="9" fontId="28" fillId="44" borderId="14" xfId="0" applyNumberFormat="1" applyFont="1" applyFill="1" applyBorder="1" applyAlignment="1">
      <alignment horizontal="center" vertical="center"/>
    </xf>
    <xf numFmtId="9" fontId="28" fillId="44" borderId="6" xfId="0" applyNumberFormat="1" applyFont="1" applyFill="1" applyBorder="1" applyAlignment="1">
      <alignment horizontal="center" vertical="center"/>
    </xf>
    <xf numFmtId="3" fontId="28" fillId="44" borderId="82" xfId="0" applyNumberFormat="1" applyFont="1" applyFill="1" applyBorder="1" applyAlignment="1" applyProtection="1">
      <alignment horizontal="center" vertical="center"/>
      <protection locked="0"/>
    </xf>
    <xf numFmtId="0" fontId="28" fillId="44" borderId="76" xfId="0" applyFont="1" applyFill="1" applyBorder="1" applyAlignment="1">
      <alignment horizontal="left" vertical="top" wrapText="1"/>
    </xf>
    <xf numFmtId="0" fontId="28" fillId="44" borderId="84" xfId="0" applyFont="1" applyFill="1" applyBorder="1" applyAlignment="1">
      <alignment horizontal="left" vertical="top" wrapText="1"/>
    </xf>
    <xf numFmtId="9" fontId="28" fillId="44" borderId="46" xfId="0" applyNumberFormat="1" applyFont="1" applyFill="1" applyBorder="1" applyAlignment="1">
      <alignment horizontal="center" vertical="center"/>
    </xf>
    <xf numFmtId="9" fontId="28" fillId="44" borderId="7" xfId="0" applyNumberFormat="1" applyFont="1" applyFill="1" applyBorder="1" applyAlignment="1">
      <alignment horizontal="center" vertical="center"/>
    </xf>
    <xf numFmtId="3" fontId="28" fillId="44" borderId="84" xfId="0" applyNumberFormat="1" applyFont="1" applyFill="1" applyBorder="1" applyAlignment="1" applyProtection="1">
      <alignment horizontal="center" vertical="center"/>
      <protection locked="0"/>
    </xf>
    <xf numFmtId="0" fontId="28" fillId="0" borderId="54"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2" xfId="0" applyFont="1" applyBorder="1" applyAlignment="1">
      <alignment horizontal="center" vertical="center" wrapText="1"/>
    </xf>
    <xf numFmtId="0" fontId="28" fillId="44" borderId="4" xfId="0" applyFont="1" applyFill="1" applyBorder="1" applyAlignment="1">
      <alignment horizontal="left" vertical="top" wrapText="1"/>
    </xf>
    <xf numFmtId="0" fontId="28" fillId="44" borderId="6" xfId="0" applyFont="1" applyFill="1" applyBorder="1" applyAlignment="1">
      <alignment horizontal="left" vertical="top" wrapText="1"/>
    </xf>
    <xf numFmtId="3" fontId="28" fillId="44" borderId="46"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165" fontId="28" fillId="0" borderId="31" xfId="0" applyNumberFormat="1" applyFont="1" applyBorder="1" applyAlignment="1">
      <alignment horizontal="center"/>
    </xf>
    <xf numFmtId="165" fontId="28" fillId="44" borderId="82" xfId="0" applyNumberFormat="1" applyFont="1" applyFill="1" applyBorder="1" applyAlignment="1" applyProtection="1">
      <alignment horizontal="center" vertical="center"/>
      <protection locked="0"/>
    </xf>
    <xf numFmtId="165" fontId="28" fillId="44" borderId="82" xfId="0" applyNumberFormat="1" applyFont="1" applyFill="1" applyBorder="1" applyAlignment="1">
      <alignment horizontal="center" vertical="center"/>
    </xf>
    <xf numFmtId="0" fontId="28" fillId="44" borderId="14" xfId="0" applyFont="1" applyFill="1" applyBorder="1" applyAlignment="1">
      <alignment horizontal="center" vertical="center"/>
    </xf>
    <xf numFmtId="0" fontId="28" fillId="44" borderId="6" xfId="0" applyFont="1" applyFill="1" applyBorder="1" applyAlignment="1">
      <alignment horizontal="center" vertical="center"/>
    </xf>
    <xf numFmtId="0" fontId="27" fillId="44" borderId="1" xfId="0" applyFont="1" applyFill="1" applyBorder="1" applyAlignment="1">
      <alignment horizontal="center" vertical="center"/>
    </xf>
    <xf numFmtId="49" fontId="30" fillId="0" borderId="16"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0" fontId="28" fillId="44" borderId="83" xfId="0" applyFont="1" applyFill="1" applyBorder="1" applyAlignment="1">
      <alignment horizontal="left" vertical="top" wrapText="1"/>
    </xf>
    <xf numFmtId="0" fontId="28" fillId="44" borderId="46" xfId="0" applyFont="1" applyFill="1" applyBorder="1" applyAlignment="1">
      <alignment horizontal="left" vertical="top" wrapText="1"/>
    </xf>
    <xf numFmtId="165" fontId="28" fillId="44" borderId="46" xfId="0" applyNumberFormat="1" applyFont="1" applyFill="1" applyBorder="1" applyAlignment="1" applyProtection="1">
      <alignment horizontal="center" vertical="center"/>
      <protection locked="0"/>
    </xf>
    <xf numFmtId="165" fontId="28" fillId="44" borderId="46" xfId="0" applyNumberFormat="1" applyFont="1" applyFill="1" applyBorder="1" applyAlignment="1">
      <alignment horizontal="center" vertical="center"/>
    </xf>
    <xf numFmtId="165" fontId="46" fillId="0" borderId="0" xfId="1" applyNumberFormat="1" applyFont="1" applyAlignment="1">
      <alignment horizontal="center" vertical="center"/>
    </xf>
    <xf numFmtId="49" fontId="30" fillId="44" borderId="12" xfId="0" applyNumberFormat="1" applyFont="1" applyFill="1" applyBorder="1" applyAlignment="1">
      <alignment horizontal="center" vertical="center" wrapText="1"/>
    </xf>
    <xf numFmtId="49" fontId="30" fillId="44" borderId="1" xfId="0" applyNumberFormat="1" applyFont="1" applyFill="1" applyBorder="1" applyAlignment="1">
      <alignment horizontal="center" vertical="center" wrapText="1"/>
    </xf>
    <xf numFmtId="49" fontId="30" fillId="44" borderId="2" xfId="0" applyNumberFormat="1" applyFont="1" applyFill="1" applyBorder="1" applyAlignment="1">
      <alignment horizontal="center" vertical="center" wrapText="1"/>
    </xf>
    <xf numFmtId="0" fontId="27" fillId="44" borderId="67" xfId="0" applyFont="1" applyFill="1" applyBorder="1" applyAlignment="1">
      <alignment horizontal="center" vertical="center" wrapText="1"/>
    </xf>
    <xf numFmtId="0" fontId="27" fillId="44" borderId="82" xfId="0" applyFont="1" applyFill="1" applyBorder="1" applyAlignment="1">
      <alignment horizontal="center" vertical="center" wrapText="1"/>
    </xf>
    <xf numFmtId="0" fontId="27" fillId="44" borderId="84" xfId="0" applyFont="1" applyFill="1" applyBorder="1" applyAlignment="1">
      <alignment horizontal="center" vertical="center" wrapText="1"/>
    </xf>
    <xf numFmtId="0" fontId="28" fillId="44" borderId="67" xfId="0" applyFont="1" applyFill="1" applyBorder="1" applyAlignment="1">
      <alignment horizontal="center" vertical="center" wrapText="1"/>
    </xf>
    <xf numFmtId="0" fontId="28" fillId="44" borderId="82" xfId="0" applyFont="1" applyFill="1" applyBorder="1" applyAlignment="1">
      <alignment horizontal="center" vertical="center" wrapText="1"/>
    </xf>
    <xf numFmtId="0" fontId="28" fillId="44" borderId="84" xfId="0" applyFont="1" applyFill="1" applyBorder="1" applyAlignment="1">
      <alignment horizontal="center" vertical="center" wrapText="1"/>
    </xf>
    <xf numFmtId="0" fontId="27" fillId="44" borderId="15" xfId="0" applyFont="1" applyFill="1" applyBorder="1" applyAlignment="1">
      <alignment horizontal="center" vertical="center"/>
    </xf>
    <xf numFmtId="0" fontId="27" fillId="44" borderId="5" xfId="0" applyFont="1" applyFill="1" applyBorder="1" applyAlignment="1">
      <alignment horizontal="center" vertical="center"/>
    </xf>
    <xf numFmtId="165" fontId="28" fillId="44" borderId="14" xfId="0" applyNumberFormat="1" applyFont="1" applyFill="1" applyBorder="1" applyAlignment="1" applyProtection="1">
      <alignment horizontal="center" vertical="center"/>
      <protection locked="0"/>
    </xf>
    <xf numFmtId="165" fontId="28" fillId="44" borderId="6" xfId="0" applyNumberFormat="1" applyFont="1" applyFill="1" applyBorder="1" applyAlignment="1" applyProtection="1">
      <alignment horizontal="center" vertical="center"/>
      <protection locked="0"/>
    </xf>
    <xf numFmtId="165" fontId="28" fillId="44" borderId="14" xfId="0" applyNumberFormat="1" applyFont="1" applyFill="1" applyBorder="1" applyAlignment="1">
      <alignment horizontal="center" vertical="center"/>
    </xf>
    <xf numFmtId="165" fontId="28" fillId="44" borderId="6" xfId="0" applyNumberFormat="1" applyFont="1" applyFill="1" applyBorder="1" applyAlignment="1">
      <alignment horizontal="center" vertical="center"/>
    </xf>
    <xf numFmtId="0" fontId="28" fillId="44" borderId="80" xfId="0" applyFont="1" applyFill="1" applyBorder="1" applyAlignment="1">
      <alignment horizontal="center" vertical="center" wrapText="1"/>
    </xf>
    <xf numFmtId="0" fontId="28" fillId="44" borderId="81" xfId="0" applyFont="1" applyFill="1" applyBorder="1" applyAlignment="1">
      <alignment horizontal="center" vertical="center" wrapText="1"/>
    </xf>
    <xf numFmtId="0" fontId="28" fillId="44" borderId="76" xfId="0" applyFont="1" applyFill="1" applyBorder="1" applyAlignment="1">
      <alignment horizontal="center" vertical="center" wrapText="1"/>
    </xf>
    <xf numFmtId="0" fontId="53" fillId="44" borderId="67" xfId="0" applyFont="1" applyFill="1" applyBorder="1" applyAlignment="1">
      <alignment horizontal="center" vertical="center" wrapText="1"/>
    </xf>
    <xf numFmtId="0" fontId="53" fillId="44" borderId="82" xfId="0" applyFont="1" applyFill="1" applyBorder="1" applyAlignment="1">
      <alignment horizontal="center" vertical="center" wrapText="1"/>
    </xf>
    <xf numFmtId="0" fontId="53" fillId="44" borderId="84" xfId="0" applyFont="1" applyFill="1" applyBorder="1" applyAlignment="1">
      <alignment horizontal="center" vertical="center" wrapText="1"/>
    </xf>
    <xf numFmtId="3" fontId="28" fillId="44" borderId="6" xfId="0" applyNumberFormat="1" applyFont="1" applyFill="1" applyBorder="1" applyAlignment="1" applyProtection="1">
      <alignment horizontal="center" vertical="center"/>
      <protection locked="0"/>
    </xf>
    <xf numFmtId="3" fontId="28" fillId="44" borderId="14" xfId="0" applyNumberFormat="1" applyFont="1" applyFill="1" applyBorder="1" applyAlignment="1" applyProtection="1">
      <alignment horizontal="center" vertical="center"/>
      <protection locked="0"/>
    </xf>
    <xf numFmtId="9" fontId="28" fillId="2" borderId="13" xfId="0" applyNumberFormat="1" applyFont="1" applyFill="1" applyBorder="1" applyAlignment="1">
      <alignment horizontal="center" vertical="center"/>
    </xf>
    <xf numFmtId="0" fontId="30" fillId="44" borderId="81" xfId="0" applyFont="1" applyFill="1" applyBorder="1" applyAlignment="1">
      <alignment horizontal="left" vertical="top" wrapText="1"/>
    </xf>
    <xf numFmtId="0" fontId="30" fillId="44" borderId="82" xfId="0" applyFont="1" applyFill="1" applyBorder="1" applyAlignment="1">
      <alignment horizontal="left" vertical="top" wrapText="1"/>
    </xf>
    <xf numFmtId="0" fontId="27" fillId="44" borderId="11" xfId="0" applyFont="1" applyFill="1" applyBorder="1" applyAlignment="1">
      <alignment horizontal="center" vertical="center"/>
    </xf>
    <xf numFmtId="0" fontId="36" fillId="4" borderId="81" xfId="0" applyFont="1" applyFill="1" applyBorder="1" applyAlignment="1">
      <alignment horizontal="left" vertical="top" wrapText="1"/>
    </xf>
    <xf numFmtId="0" fontId="36" fillId="4" borderId="82" xfId="0" applyFont="1" applyFill="1" applyBorder="1" applyAlignment="1">
      <alignment horizontal="left" vertical="top" wrapText="1"/>
    </xf>
    <xf numFmtId="0" fontId="27" fillId="2" borderId="8" xfId="0" applyFont="1" applyFill="1" applyBorder="1" applyAlignment="1">
      <alignment horizontal="center" vertical="center"/>
    </xf>
    <xf numFmtId="0" fontId="28" fillId="4" borderId="87" xfId="0" applyFont="1" applyFill="1" applyBorder="1" applyAlignment="1">
      <alignment horizontal="left" vertical="top" wrapText="1"/>
    </xf>
    <xf numFmtId="0" fontId="28" fillId="4" borderId="26" xfId="0" applyFont="1" applyFill="1" applyBorder="1" applyAlignment="1">
      <alignment horizontal="left" vertical="top" wrapText="1"/>
    </xf>
    <xf numFmtId="0" fontId="28" fillId="4" borderId="88" xfId="0" applyFont="1" applyFill="1" applyBorder="1" applyAlignment="1">
      <alignment horizontal="left" vertical="top" wrapText="1"/>
    </xf>
    <xf numFmtId="49" fontId="30" fillId="0" borderId="3" xfId="0" applyNumberFormat="1" applyFont="1" applyBorder="1" applyAlignment="1">
      <alignment horizontal="center" vertical="center" wrapText="1"/>
    </xf>
    <xf numFmtId="0" fontId="28" fillId="0" borderId="13" xfId="0" applyFont="1" applyBorder="1" applyAlignment="1">
      <alignment horizontal="center" vertical="center"/>
    </xf>
    <xf numFmtId="0" fontId="28" fillId="0" borderId="46" xfId="0" applyFont="1" applyBorder="1" applyAlignment="1">
      <alignment horizontal="center" vertical="center"/>
    </xf>
    <xf numFmtId="0" fontId="28" fillId="0" borderId="7" xfId="0" applyFont="1" applyBorder="1" applyAlignment="1">
      <alignment horizontal="center" vertical="center"/>
    </xf>
    <xf numFmtId="0" fontId="28" fillId="42" borderId="36" xfId="0" applyFont="1" applyFill="1" applyBorder="1" applyAlignment="1">
      <alignment horizontal="left" vertical="top" wrapText="1"/>
    </xf>
    <xf numFmtId="0" fontId="28" fillId="42" borderId="37" xfId="0" applyFont="1" applyFill="1" applyBorder="1" applyAlignment="1">
      <alignment horizontal="left" vertical="top" wrapText="1"/>
    </xf>
    <xf numFmtId="0" fontId="28" fillId="42" borderId="86" xfId="0" applyFont="1" applyFill="1" applyBorder="1" applyAlignment="1">
      <alignment horizontal="left" vertical="top" wrapText="1"/>
    </xf>
    <xf numFmtId="0" fontId="28" fillId="42" borderId="33" xfId="0" applyFont="1" applyFill="1" applyBorder="1" applyAlignment="1">
      <alignment horizontal="left" vertical="top" wrapText="1"/>
    </xf>
    <xf numFmtId="0" fontId="28" fillId="42" borderId="27" xfId="0" applyFont="1" applyFill="1" applyBorder="1" applyAlignment="1">
      <alignment horizontal="left" vertical="top" wrapText="1"/>
    </xf>
    <xf numFmtId="0" fontId="28" fillId="42" borderId="85" xfId="0" applyFont="1" applyFill="1" applyBorder="1" applyAlignment="1">
      <alignment horizontal="left" vertical="top" wrapText="1"/>
    </xf>
    <xf numFmtId="0" fontId="36" fillId="4" borderId="76" xfId="0" applyFont="1" applyFill="1" applyBorder="1" applyAlignment="1">
      <alignment horizontal="left" vertical="top" wrapText="1"/>
    </xf>
    <xf numFmtId="0" fontId="36" fillId="4" borderId="84" xfId="0" applyFont="1" applyFill="1" applyBorder="1" applyAlignment="1">
      <alignment horizontal="left" vertical="top" wrapText="1"/>
    </xf>
    <xf numFmtId="0" fontId="27" fillId="0" borderId="32" xfId="0" applyFont="1" applyBorder="1" applyAlignment="1">
      <alignment horizontal="center" wrapText="1"/>
    </xf>
    <xf numFmtId="0" fontId="27" fillId="0" borderId="40" xfId="0" applyFont="1" applyBorder="1" applyAlignment="1">
      <alignment horizontal="center" wrapText="1"/>
    </xf>
    <xf numFmtId="0" fontId="27" fillId="0" borderId="53" xfId="0" applyFont="1" applyBorder="1" applyAlignment="1">
      <alignment horizontal="center" wrapText="1"/>
    </xf>
    <xf numFmtId="0" fontId="27" fillId="0" borderId="44" xfId="0" applyFont="1" applyBorder="1" applyAlignment="1">
      <alignment horizontal="center" wrapText="1"/>
    </xf>
    <xf numFmtId="0" fontId="27" fillId="0" borderId="54" xfId="0" applyFont="1" applyBorder="1" applyAlignment="1">
      <alignment horizontal="center" vertical="center"/>
    </xf>
    <xf numFmtId="0" fontId="27" fillId="0" borderId="52" xfId="0" applyFont="1" applyBorder="1" applyAlignment="1">
      <alignment horizontal="center" vertical="center"/>
    </xf>
    <xf numFmtId="165" fontId="46" fillId="0" borderId="29" xfId="1" applyNumberFormat="1" applyFont="1" applyBorder="1" applyAlignment="1">
      <alignment horizontal="center" vertical="center"/>
    </xf>
    <xf numFmtId="165" fontId="28" fillId="44" borderId="84" xfId="0" applyNumberFormat="1" applyFont="1" applyFill="1" applyBorder="1" applyAlignment="1" applyProtection="1">
      <alignment horizontal="center" vertical="center"/>
      <protection locked="0"/>
    </xf>
    <xf numFmtId="0" fontId="28" fillId="0" borderId="80" xfId="0" applyFont="1" applyBorder="1" applyAlignment="1">
      <alignment horizontal="center" vertical="center" wrapText="1"/>
    </xf>
    <xf numFmtId="0" fontId="28" fillId="0" borderId="81"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84"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84" xfId="0" applyFont="1" applyBorder="1" applyAlignment="1">
      <alignment horizontal="center" vertical="center" wrapText="1"/>
    </xf>
    <xf numFmtId="165" fontId="28" fillId="44" borderId="84" xfId="0" applyNumberFormat="1" applyFont="1" applyFill="1" applyBorder="1" applyAlignment="1">
      <alignment horizontal="center" vertical="center"/>
    </xf>
    <xf numFmtId="0" fontId="28" fillId="44" borderId="46" xfId="0" applyFont="1" applyFill="1" applyBorder="1" applyAlignment="1">
      <alignment horizontal="center" vertical="center"/>
    </xf>
    <xf numFmtId="0" fontId="28" fillId="44" borderId="7" xfId="0" applyFont="1" applyFill="1" applyBorder="1" applyAlignment="1">
      <alignment horizontal="center" vertical="center"/>
    </xf>
    <xf numFmtId="0" fontId="27" fillId="44" borderId="2" xfId="0" applyFont="1" applyFill="1" applyBorder="1" applyAlignment="1">
      <alignment horizontal="center" vertical="center"/>
    </xf>
    <xf numFmtId="0" fontId="30" fillId="0" borderId="54"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7" xfId="0" applyFont="1" applyBorder="1" applyAlignment="1">
      <alignment horizontal="center" vertical="center" wrapText="1"/>
    </xf>
    <xf numFmtId="0" fontId="28" fillId="0" borderId="67" xfId="0" applyFont="1" applyBorder="1" applyAlignment="1">
      <alignment horizontal="center" vertical="center"/>
    </xf>
    <xf numFmtId="9" fontId="28" fillId="2" borderId="67" xfId="0" applyNumberFormat="1" applyFont="1" applyFill="1" applyBorder="1" applyAlignment="1">
      <alignment horizontal="center" vertical="center"/>
    </xf>
    <xf numFmtId="165" fontId="8" fillId="0" borderId="79" xfId="0" applyNumberFormat="1" applyFont="1" applyBorder="1" applyAlignment="1">
      <alignment horizontal="center"/>
    </xf>
    <xf numFmtId="165" fontId="8" fillId="0" borderId="62" xfId="0" applyNumberFormat="1" applyFont="1" applyBorder="1" applyAlignment="1">
      <alignment horizontal="center"/>
    </xf>
    <xf numFmtId="165" fontId="8" fillId="0" borderId="65" xfId="0" applyNumberFormat="1" applyFont="1" applyBorder="1" applyAlignment="1">
      <alignment horizontal="center"/>
    </xf>
    <xf numFmtId="165" fontId="42" fillId="0" borderId="79" xfId="0" applyNumberFormat="1" applyFont="1" applyBorder="1" applyAlignment="1">
      <alignment horizontal="center"/>
    </xf>
    <xf numFmtId="165" fontId="42" fillId="0" borderId="65" xfId="0" applyNumberFormat="1" applyFont="1" applyBorder="1" applyAlignment="1">
      <alignment horizontal="center"/>
    </xf>
    <xf numFmtId="0" fontId="11" fillId="0" borderId="0" xfId="0" applyFont="1" applyAlignment="1">
      <alignment horizontal="right"/>
    </xf>
    <xf numFmtId="170" fontId="8" fillId="0" borderId="69" xfId="0" applyNumberFormat="1" applyFont="1" applyBorder="1" applyAlignment="1">
      <alignment horizontal="center"/>
    </xf>
    <xf numFmtId="170" fontId="8" fillId="0" borderId="56" xfId="0" applyNumberFormat="1" applyFont="1" applyBorder="1" applyAlignment="1">
      <alignment horizontal="center"/>
    </xf>
    <xf numFmtId="170" fontId="8" fillId="0" borderId="75" xfId="0" applyNumberFormat="1" applyFont="1" applyBorder="1" applyAlignment="1">
      <alignment horizontal="center"/>
    </xf>
    <xf numFmtId="170" fontId="8" fillId="0" borderId="64" xfId="0" applyNumberFormat="1" applyFont="1" applyBorder="1" applyAlignment="1">
      <alignment horizontal="center"/>
    </xf>
    <xf numFmtId="165" fontId="42" fillId="0" borderId="87" xfId="0" applyNumberFormat="1" applyFont="1" applyBorder="1" applyAlignment="1">
      <alignment horizontal="center"/>
    </xf>
    <xf numFmtId="165" fontId="42" fillId="0" borderId="44" xfId="0" applyNumberFormat="1" applyFont="1" applyBorder="1" applyAlignment="1">
      <alignment horizontal="center"/>
    </xf>
    <xf numFmtId="0" fontId="11" fillId="0" borderId="28" xfId="0" applyFont="1" applyBorder="1" applyAlignment="1">
      <alignment horizontal="center" wrapText="1"/>
    </xf>
    <xf numFmtId="0" fontId="11" fillId="0" borderId="40" xfId="0" applyFont="1" applyBorder="1" applyAlignment="1">
      <alignment horizontal="center" wrapText="1"/>
    </xf>
    <xf numFmtId="0" fontId="11" fillId="0" borderId="31" xfId="0" applyFont="1" applyBorder="1" applyAlignment="1">
      <alignment horizontal="center" wrapText="1"/>
    </xf>
    <xf numFmtId="0" fontId="11" fillId="0" borderId="41" xfId="0" applyFont="1" applyBorder="1" applyAlignment="1">
      <alignment horizontal="center" wrapText="1"/>
    </xf>
    <xf numFmtId="165" fontId="8" fillId="0" borderId="36" xfId="0" applyNumberFormat="1" applyFont="1" applyBorder="1" applyAlignment="1"/>
    <xf numFmtId="165" fontId="8" fillId="0" borderId="42" xfId="0" applyNumberFormat="1" applyFont="1" applyBorder="1" applyAlignment="1"/>
    <xf numFmtId="170" fontId="8" fillId="0" borderId="70" xfId="0" applyNumberFormat="1" applyFont="1" applyBorder="1" applyAlignment="1">
      <alignment horizontal="center"/>
    </xf>
    <xf numFmtId="170" fontId="8" fillId="0" borderId="68" xfId="0" applyNumberFormat="1" applyFont="1" applyBorder="1" applyAlignment="1">
      <alignment horizontal="center"/>
    </xf>
    <xf numFmtId="165" fontId="8" fillId="0" borderId="69" xfId="0" applyNumberFormat="1" applyFont="1" applyBorder="1" applyAlignment="1">
      <alignment horizontal="center" vertical="center"/>
    </xf>
    <xf numFmtId="165" fontId="8" fillId="0" borderId="56" xfId="0" applyNumberFormat="1" applyFont="1" applyBorder="1" applyAlignment="1">
      <alignment horizontal="center" vertical="center"/>
    </xf>
    <xf numFmtId="165" fontId="8" fillId="0" borderId="75" xfId="0" applyNumberFormat="1" applyFont="1" applyBorder="1" applyAlignment="1">
      <alignment horizontal="center" vertical="center"/>
    </xf>
    <xf numFmtId="165" fontId="8" fillId="0" borderId="64" xfId="0" applyNumberFormat="1" applyFont="1" applyBorder="1" applyAlignment="1">
      <alignment horizontal="center" vertical="center"/>
    </xf>
    <xf numFmtId="165" fontId="8" fillId="0" borderId="69" xfId="0" applyNumberFormat="1" applyFont="1" applyBorder="1" applyAlignment="1">
      <alignment horizontal="center"/>
    </xf>
    <xf numFmtId="165" fontId="8" fillId="0" borderId="56" xfId="0" applyNumberFormat="1" applyFont="1" applyBorder="1" applyAlignment="1">
      <alignment horizontal="center"/>
    </xf>
    <xf numFmtId="165" fontId="8" fillId="0" borderId="0" xfId="0" applyNumberFormat="1" applyFont="1" applyAlignment="1">
      <alignment horizontal="center" vertical="center"/>
    </xf>
    <xf numFmtId="165" fontId="8" fillId="0" borderId="36" xfId="0" applyNumberFormat="1" applyFont="1" applyBorder="1" applyAlignment="1">
      <alignment horizontal="center" vertical="center"/>
    </xf>
    <xf numFmtId="165" fontId="8" fillId="0" borderId="42" xfId="0" applyNumberFormat="1" applyFont="1" applyBorder="1" applyAlignment="1">
      <alignment horizontal="center" vertical="center"/>
    </xf>
    <xf numFmtId="165" fontId="8" fillId="0" borderId="75" xfId="0" applyNumberFormat="1" applyFont="1" applyBorder="1" applyAlignment="1">
      <alignment horizontal="center"/>
    </xf>
    <xf numFmtId="165" fontId="8" fillId="0" borderId="64" xfId="0" applyNumberFormat="1" applyFont="1" applyBorder="1" applyAlignment="1">
      <alignment horizontal="center"/>
    </xf>
    <xf numFmtId="0" fontId="11" fillId="0" borderId="70" xfId="0" applyFont="1" applyBorder="1" applyAlignment="1">
      <alignment horizontal="center" wrapText="1"/>
    </xf>
    <xf numFmtId="0" fontId="11" fillId="0" borderId="68" xfId="0" applyFont="1" applyBorder="1" applyAlignment="1">
      <alignment horizontal="center" wrapText="1"/>
    </xf>
    <xf numFmtId="0" fontId="11" fillId="0" borderId="69" xfId="0" applyFont="1" applyBorder="1" applyAlignment="1">
      <alignment horizontal="center" wrapText="1"/>
    </xf>
    <xf numFmtId="0" fontId="11" fillId="0" borderId="56" xfId="0" applyFont="1" applyBorder="1" applyAlignment="1">
      <alignment horizontal="center" wrapText="1"/>
    </xf>
    <xf numFmtId="165" fontId="8" fillId="0" borderId="70" xfId="0" applyNumberFormat="1" applyFont="1" applyBorder="1" applyAlignment="1">
      <alignment horizontal="center" vertical="center"/>
    </xf>
    <xf numFmtId="165" fontId="8" fillId="0" borderId="68" xfId="0" applyNumberFormat="1" applyFont="1" applyBorder="1" applyAlignment="1">
      <alignment horizontal="center" vertical="center"/>
    </xf>
    <xf numFmtId="165" fontId="8" fillId="0" borderId="69" xfId="0" applyNumberFormat="1" applyFont="1" applyBorder="1" applyAlignment="1"/>
    <xf numFmtId="165" fontId="8" fillId="0" borderId="56" xfId="0" applyNumberFormat="1" applyFont="1" applyBorder="1" applyAlignment="1"/>
    <xf numFmtId="0" fontId="40" fillId="0" borderId="0" xfId="0" applyFont="1" applyAlignment="1">
      <alignment horizontal="right"/>
    </xf>
    <xf numFmtId="0" fontId="43" fillId="0" borderId="0" xfId="0" applyFont="1" applyAlignment="1">
      <alignment horizontal="center"/>
    </xf>
    <xf numFmtId="0" fontId="11" fillId="0" borderId="79" xfId="0" applyFont="1" applyBorder="1" applyAlignment="1">
      <alignment horizontal="center"/>
    </xf>
    <xf numFmtId="0" fontId="11" fillId="0" borderId="62" xfId="0" applyFont="1" applyBorder="1" applyAlignment="1">
      <alignment horizontal="center"/>
    </xf>
    <xf numFmtId="0" fontId="11" fillId="0" borderId="65" xfId="0" applyFont="1" applyBorder="1" applyAlignment="1">
      <alignment horizontal="center"/>
    </xf>
    <xf numFmtId="170" fontId="8" fillId="0" borderId="70" xfId="0" applyNumberFormat="1" applyFont="1" applyBorder="1" applyAlignment="1">
      <alignment horizontal="center" vertical="center"/>
    </xf>
    <xf numFmtId="170" fontId="8" fillId="0" borderId="68" xfId="0" applyNumberFormat="1" applyFont="1" applyBorder="1" applyAlignment="1">
      <alignment horizontal="center" vertical="center"/>
    </xf>
    <xf numFmtId="165" fontId="8" fillId="0" borderId="0" xfId="0" applyNumberFormat="1" applyFont="1" applyAlignment="1"/>
    <xf numFmtId="0" fontId="11" fillId="0" borderId="70" xfId="0" applyFont="1" applyBorder="1" applyAlignment="1">
      <alignment horizontal="center" vertical="top" wrapText="1"/>
    </xf>
    <xf numFmtId="0" fontId="11" fillId="0" borderId="68" xfId="0" applyFont="1" applyBorder="1" applyAlignment="1">
      <alignment horizontal="center" vertical="top" wrapText="1"/>
    </xf>
    <xf numFmtId="0" fontId="11" fillId="0" borderId="69" xfId="0" applyFont="1" applyBorder="1" applyAlignment="1">
      <alignment horizontal="center" vertical="top" wrapText="1"/>
    </xf>
    <xf numFmtId="0" fontId="11" fillId="0" borderId="56" xfId="0" applyFont="1" applyBorder="1" applyAlignment="1">
      <alignment horizontal="center" vertical="top" wrapText="1"/>
    </xf>
    <xf numFmtId="0" fontId="11" fillId="0" borderId="0" xfId="0" applyFont="1" applyAlignment="1">
      <alignment horizontal="center" wrapText="1"/>
    </xf>
    <xf numFmtId="165" fontId="8" fillId="0" borderId="0" xfId="0" applyNumberFormat="1" applyFont="1" applyAlignment="1">
      <alignment horizontal="center"/>
    </xf>
    <xf numFmtId="165" fontId="42" fillId="0" borderId="0" xfId="0" applyNumberFormat="1" applyFont="1" applyAlignment="1">
      <alignment horizontal="center"/>
    </xf>
    <xf numFmtId="0" fontId="27" fillId="0" borderId="0" xfId="0" applyFont="1" applyAlignment="1">
      <alignment horizontal="center" wrapText="1"/>
    </xf>
    <xf numFmtId="0" fontId="27" fillId="0" borderId="41" xfId="0" applyFont="1" applyBorder="1" applyAlignment="1">
      <alignment horizontal="center" wrapText="1"/>
    </xf>
    <xf numFmtId="165" fontId="28" fillId="0" borderId="7" xfId="0" applyNumberFormat="1" applyFont="1" applyBorder="1" applyAlignment="1" applyProtection="1">
      <alignment horizontal="center" vertical="center"/>
      <protection locked="0"/>
    </xf>
    <xf numFmtId="0" fontId="27" fillId="0" borderId="28" xfId="0" applyFont="1" applyBorder="1" applyAlignment="1">
      <alignment horizontal="center" vertical="center"/>
    </xf>
    <xf numFmtId="0" fontId="27" fillId="0" borderId="87" xfId="0" applyFont="1" applyBorder="1" applyAlignment="1">
      <alignment horizontal="center" vertical="center"/>
    </xf>
    <xf numFmtId="49" fontId="30" fillId="0" borderId="5"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11" fillId="0" borderId="0" xfId="0" applyFont="1" applyAlignment="1">
      <alignment horizontal="center"/>
    </xf>
    <xf numFmtId="0" fontId="47" fillId="0" borderId="0" xfId="0" applyFont="1" applyAlignment="1">
      <alignment horizontal="center"/>
    </xf>
    <xf numFmtId="165" fontId="42" fillId="0" borderId="75" xfId="0" applyNumberFormat="1" applyFont="1" applyBorder="1" applyAlignment="1">
      <alignment horizontal="center"/>
    </xf>
    <xf numFmtId="165" fontId="42" fillId="0" borderId="64" xfId="0" applyNumberFormat="1" applyFont="1" applyBorder="1" applyAlignment="1">
      <alignment horizontal="center"/>
    </xf>
    <xf numFmtId="0" fontId="28" fillId="45" borderId="28" xfId="0" applyFont="1" applyFill="1" applyBorder="1" applyAlignment="1">
      <alignment horizontal="left" vertical="top" wrapText="1"/>
    </xf>
    <xf numFmtId="0" fontId="28" fillId="45" borderId="29" xfId="0" applyFont="1" applyFill="1" applyBorder="1" applyAlignment="1">
      <alignment horizontal="left" vertical="top" wrapText="1"/>
    </xf>
    <xf numFmtId="0" fontId="28" fillId="45" borderId="55" xfId="0" applyFont="1" applyFill="1" applyBorder="1" applyAlignment="1">
      <alignment horizontal="left" vertical="top" wrapText="1"/>
    </xf>
    <xf numFmtId="9" fontId="28" fillId="45" borderId="16" xfId="0" applyNumberFormat="1" applyFont="1" applyFill="1" applyBorder="1" applyAlignment="1">
      <alignment horizontal="center" vertical="center"/>
    </xf>
    <xf numFmtId="10" fontId="28" fillId="45" borderId="55" xfId="0" applyNumberFormat="1" applyFont="1" applyFill="1" applyBorder="1" applyAlignment="1">
      <alignment horizontal="center" vertical="center" wrapText="1"/>
    </xf>
    <xf numFmtId="165" fontId="28" fillId="45" borderId="13" xfId="0" applyNumberFormat="1" applyFont="1" applyFill="1" applyBorder="1" applyAlignment="1">
      <alignment horizontal="center" vertical="center" wrapText="1"/>
    </xf>
    <xf numFmtId="165" fontId="28" fillId="45" borderId="16" xfId="0" applyNumberFormat="1" applyFont="1" applyFill="1" applyBorder="1" applyAlignment="1">
      <alignment horizontal="center" vertical="center" wrapText="1"/>
    </xf>
    <xf numFmtId="49" fontId="28" fillId="45" borderId="28" xfId="0" applyNumberFormat="1" applyFont="1" applyFill="1" applyBorder="1" applyAlignment="1">
      <alignment horizontal="left" vertical="top" wrapText="1"/>
    </xf>
    <xf numFmtId="49" fontId="28" fillId="45" borderId="29" xfId="0" applyNumberFormat="1" applyFont="1" applyFill="1" applyBorder="1" applyAlignment="1">
      <alignment horizontal="left" vertical="top" wrapText="1"/>
    </xf>
    <xf numFmtId="49" fontId="28" fillId="45" borderId="55" xfId="0" applyNumberFormat="1" applyFont="1" applyFill="1" applyBorder="1" applyAlignment="1">
      <alignment horizontal="left" vertical="top" wrapText="1"/>
    </xf>
    <xf numFmtId="0" fontId="28" fillId="45" borderId="13" xfId="0" applyFont="1" applyFill="1" applyBorder="1" applyAlignment="1">
      <alignment horizontal="center" vertical="center"/>
    </xf>
    <xf numFmtId="165" fontId="30" fillId="45" borderId="32" xfId="0" applyNumberFormat="1" applyFont="1" applyFill="1" applyBorder="1" applyAlignment="1" applyProtection="1">
      <alignment horizontal="center" vertical="center"/>
      <protection locked="0"/>
    </xf>
    <xf numFmtId="165" fontId="30" fillId="45" borderId="40" xfId="0" applyNumberFormat="1" applyFont="1" applyFill="1" applyBorder="1" applyAlignment="1" applyProtection="1">
      <alignment horizontal="center" vertical="center"/>
      <protection locked="0"/>
    </xf>
    <xf numFmtId="9" fontId="30" fillId="45" borderId="43" xfId="0" applyNumberFormat="1" applyFont="1" applyFill="1" applyBorder="1" applyAlignment="1">
      <alignment horizontal="center" vertical="center"/>
    </xf>
    <xf numFmtId="0" fontId="34" fillId="45" borderId="43" xfId="0" applyFont="1" applyFill="1" applyBorder="1" applyAlignment="1">
      <alignment horizontal="center" vertical="center"/>
    </xf>
    <xf numFmtId="0" fontId="28" fillId="45" borderId="31" xfId="0" applyFont="1" applyFill="1" applyBorder="1" applyAlignment="1">
      <alignment horizontal="left" vertical="top" wrapText="1"/>
    </xf>
    <xf numFmtId="0" fontId="28" fillId="45" borderId="0" xfId="0" applyFont="1" applyFill="1" applyAlignment="1">
      <alignment horizontal="left" vertical="top" wrapText="1"/>
    </xf>
    <xf numFmtId="0" fontId="28" fillId="45" borderId="50" xfId="0" applyFont="1" applyFill="1" applyBorder="1" applyAlignment="1">
      <alignment horizontal="left" vertical="top" wrapText="1"/>
    </xf>
    <xf numFmtId="9" fontId="28" fillId="45" borderId="15" xfId="0" applyNumberFormat="1" applyFont="1" applyFill="1" applyBorder="1" applyAlignment="1">
      <alignment horizontal="center" vertical="center"/>
    </xf>
    <xf numFmtId="10" fontId="28" fillId="45" borderId="50" xfId="0" applyNumberFormat="1" applyFont="1" applyFill="1" applyBorder="1" applyAlignment="1">
      <alignment horizontal="center" vertical="center" wrapText="1"/>
    </xf>
    <xf numFmtId="165" fontId="28" fillId="45" borderId="14" xfId="0" applyNumberFormat="1" applyFont="1" applyFill="1" applyBorder="1" applyAlignment="1">
      <alignment horizontal="center" vertical="center" wrapText="1"/>
    </xf>
    <xf numFmtId="165" fontId="28" fillId="45" borderId="15" xfId="0" applyNumberFormat="1" applyFont="1" applyFill="1" applyBorder="1" applyAlignment="1">
      <alignment horizontal="center" vertical="center" wrapText="1"/>
    </xf>
    <xf numFmtId="49" fontId="28" fillId="45" borderId="31" xfId="0" applyNumberFormat="1" applyFont="1" applyFill="1" applyBorder="1" applyAlignment="1">
      <alignment horizontal="left" vertical="top" wrapText="1"/>
    </xf>
    <xf numFmtId="49" fontId="28" fillId="45" borderId="0" xfId="0" applyNumberFormat="1" applyFont="1" applyFill="1" applyAlignment="1">
      <alignment horizontal="left" vertical="top" wrapText="1"/>
    </xf>
    <xf numFmtId="49" fontId="28" fillId="45" borderId="50" xfId="0" applyNumberFormat="1" applyFont="1" applyFill="1" applyBorder="1" applyAlignment="1">
      <alignment horizontal="left" vertical="top" wrapText="1"/>
    </xf>
    <xf numFmtId="0" fontId="28" fillId="45" borderId="14" xfId="0" applyFont="1" applyFill="1" applyBorder="1" applyAlignment="1">
      <alignment horizontal="center" vertical="center"/>
    </xf>
    <xf numFmtId="165" fontId="30" fillId="45" borderId="47" xfId="0" applyNumberFormat="1" applyFont="1" applyFill="1" applyBorder="1" applyAlignment="1" applyProtection="1">
      <alignment horizontal="center" vertical="center"/>
      <protection locked="0"/>
    </xf>
    <xf numFmtId="165" fontId="30" fillId="45" borderId="41" xfId="0" applyNumberFormat="1" applyFont="1" applyFill="1" applyBorder="1" applyAlignment="1" applyProtection="1">
      <alignment horizontal="center" vertical="center"/>
      <protection locked="0"/>
    </xf>
    <xf numFmtId="9" fontId="30" fillId="45" borderId="48" xfId="0" applyNumberFormat="1" applyFont="1" applyFill="1" applyBorder="1" applyAlignment="1">
      <alignment horizontal="center" vertical="center"/>
    </xf>
    <xf numFmtId="0" fontId="34" fillId="45" borderId="48" xfId="0" applyFont="1" applyFill="1" applyBorder="1" applyAlignment="1">
      <alignment horizontal="center" vertical="center"/>
    </xf>
    <xf numFmtId="0" fontId="28" fillId="45" borderId="33" xfId="0" applyFont="1" applyFill="1" applyBorder="1" applyAlignment="1">
      <alignment horizontal="left" vertical="top" wrapText="1"/>
    </xf>
    <xf numFmtId="0" fontId="28" fillId="45" borderId="27" xfId="0" applyFont="1" applyFill="1" applyBorder="1" applyAlignment="1">
      <alignment horizontal="left" vertical="top" wrapText="1"/>
    </xf>
    <xf numFmtId="0" fontId="28" fillId="45" borderId="85" xfId="0" applyFont="1" applyFill="1" applyBorder="1" applyAlignment="1">
      <alignment horizontal="left" vertical="top" wrapText="1"/>
    </xf>
    <xf numFmtId="9" fontId="28" fillId="45" borderId="5" xfId="0" applyNumberFormat="1" applyFont="1" applyFill="1" applyBorder="1" applyAlignment="1">
      <alignment horizontal="center" vertical="center"/>
    </xf>
    <xf numFmtId="165" fontId="28" fillId="45" borderId="45" xfId="0" applyNumberFormat="1" applyFont="1" applyFill="1" applyBorder="1" applyAlignment="1">
      <alignment horizontal="center" vertical="center"/>
    </xf>
    <xf numFmtId="165" fontId="28" fillId="45" borderId="56" xfId="0" applyNumberFormat="1" applyFont="1" applyFill="1" applyBorder="1" applyAlignment="1">
      <alignment horizontal="center" vertical="center"/>
    </xf>
    <xf numFmtId="49" fontId="28" fillId="45" borderId="33" xfId="0" applyNumberFormat="1" applyFont="1" applyFill="1" applyBorder="1" applyAlignment="1">
      <alignment horizontal="left" vertical="top" wrapText="1"/>
    </xf>
    <xf numFmtId="49" fontId="28" fillId="45" borderId="27" xfId="0" applyNumberFormat="1" applyFont="1" applyFill="1" applyBorder="1" applyAlignment="1">
      <alignment horizontal="left" vertical="top" wrapText="1"/>
    </xf>
    <xf numFmtId="49" fontId="28" fillId="45" borderId="85" xfId="0" applyNumberFormat="1" applyFont="1" applyFill="1" applyBorder="1" applyAlignment="1">
      <alignment horizontal="left" vertical="top" wrapText="1"/>
    </xf>
    <xf numFmtId="0" fontId="28" fillId="45" borderId="6" xfId="0" applyFont="1" applyFill="1" applyBorder="1" applyAlignment="1">
      <alignment horizontal="center" vertical="center"/>
    </xf>
    <xf numFmtId="165" fontId="30" fillId="45" borderId="34" xfId="0" applyNumberFormat="1" applyFont="1" applyFill="1" applyBorder="1" applyAlignment="1" applyProtection="1">
      <alignment horizontal="center" vertical="center"/>
      <protection locked="0"/>
    </xf>
    <xf numFmtId="165" fontId="30" fillId="45" borderId="35" xfId="0" applyNumberFormat="1" applyFont="1" applyFill="1" applyBorder="1" applyAlignment="1" applyProtection="1">
      <alignment horizontal="center" vertical="center"/>
      <protection locked="0"/>
    </xf>
    <xf numFmtId="9" fontId="30" fillId="45" borderId="9" xfId="0" applyNumberFormat="1" applyFont="1" applyFill="1" applyBorder="1" applyAlignment="1">
      <alignment horizontal="center" vertical="center"/>
    </xf>
    <xf numFmtId="0" fontId="34" fillId="45" borderId="9" xfId="0" applyFont="1" applyFill="1" applyBorder="1" applyAlignment="1">
      <alignment horizontal="center" vertical="center"/>
    </xf>
    <xf numFmtId="0" fontId="28" fillId="45" borderId="36" xfId="0" applyFont="1" applyFill="1" applyBorder="1" applyAlignment="1">
      <alignment horizontal="left" vertical="top" wrapText="1"/>
    </xf>
    <xf numFmtId="0" fontId="28" fillId="45" borderId="37" xfId="0" applyFont="1" applyFill="1" applyBorder="1" applyAlignment="1">
      <alignment horizontal="left" vertical="top" wrapText="1"/>
    </xf>
    <xf numFmtId="0" fontId="28" fillId="45" borderId="86" xfId="0" applyFont="1" applyFill="1" applyBorder="1" applyAlignment="1">
      <alignment horizontal="left" vertical="top" wrapText="1"/>
    </xf>
    <xf numFmtId="9" fontId="28" fillId="45" borderId="11" xfId="0" applyNumberFormat="1" applyFont="1" applyFill="1" applyBorder="1" applyAlignment="1">
      <alignment horizontal="center" vertical="center"/>
    </xf>
    <xf numFmtId="10" fontId="28" fillId="45" borderId="86" xfId="0" applyNumberFormat="1" applyFont="1" applyFill="1" applyBorder="1" applyAlignment="1">
      <alignment horizontal="center" vertical="center" wrapText="1"/>
    </xf>
    <xf numFmtId="165" fontId="28" fillId="45" borderId="39" xfId="0" applyNumberFormat="1" applyFont="1" applyFill="1" applyBorder="1" applyAlignment="1">
      <alignment horizontal="center" vertical="center" wrapText="1"/>
    </xf>
    <xf numFmtId="165" fontId="28" fillId="45" borderId="42" xfId="0" applyNumberFormat="1" applyFont="1" applyFill="1" applyBorder="1" applyAlignment="1">
      <alignment horizontal="center" vertical="center" wrapText="1"/>
    </xf>
    <xf numFmtId="49" fontId="28" fillId="45" borderId="81" xfId="0" applyNumberFormat="1" applyFont="1" applyFill="1" applyBorder="1" applyAlignment="1">
      <alignment horizontal="left" vertical="top" wrapText="1"/>
    </xf>
    <xf numFmtId="49" fontId="28" fillId="45" borderId="82" xfId="0" applyNumberFormat="1" applyFont="1" applyFill="1" applyBorder="1" applyAlignment="1">
      <alignment horizontal="left" vertical="top" wrapText="1"/>
    </xf>
    <xf numFmtId="0" fontId="28" fillId="45" borderId="82" xfId="0" applyFont="1" applyFill="1" applyBorder="1" applyAlignment="1">
      <alignment horizontal="center" vertical="center"/>
    </xf>
    <xf numFmtId="165" fontId="30" fillId="45" borderId="82" xfId="0" applyNumberFormat="1" applyFont="1" applyFill="1" applyBorder="1" applyAlignment="1" applyProtection="1">
      <alignment horizontal="center" vertical="center"/>
      <protection locked="0"/>
    </xf>
    <xf numFmtId="165" fontId="30" fillId="45" borderId="1" xfId="0" applyNumberFormat="1" applyFont="1" applyFill="1" applyBorder="1" applyAlignment="1" applyProtection="1">
      <alignment horizontal="center" vertical="center"/>
      <protection locked="0"/>
    </xf>
    <xf numFmtId="9" fontId="30" fillId="45" borderId="74" xfId="0" applyNumberFormat="1" applyFont="1" applyFill="1" applyBorder="1" applyAlignment="1">
      <alignment horizontal="center" vertical="center"/>
    </xf>
    <xf numFmtId="0" fontId="34" fillId="45" borderId="74" xfId="0" applyFont="1" applyFill="1" applyBorder="1" applyAlignment="1">
      <alignment horizontal="center" vertical="center"/>
    </xf>
    <xf numFmtId="165" fontId="28" fillId="45" borderId="47" xfId="0" applyNumberFormat="1" applyFont="1" applyFill="1" applyBorder="1" applyAlignment="1">
      <alignment horizontal="center" vertical="center" wrapText="1"/>
    </xf>
    <xf numFmtId="165" fontId="28" fillId="45" borderId="41" xfId="0" applyNumberFormat="1" applyFont="1" applyFill="1" applyBorder="1" applyAlignment="1">
      <alignment horizontal="center" vertical="center" wrapText="1"/>
    </xf>
    <xf numFmtId="0" fontId="28" fillId="45" borderId="36" xfId="0" applyFont="1" applyFill="1" applyBorder="1" applyAlignment="1">
      <alignment vertical="top" wrapText="1"/>
    </xf>
    <xf numFmtId="0" fontId="28" fillId="45" borderId="37" xfId="0" applyFont="1" applyFill="1" applyBorder="1" applyAlignment="1">
      <alignment vertical="top" wrapText="1"/>
    </xf>
    <xf numFmtId="0" fontId="28" fillId="45" borderId="86" xfId="0" applyFont="1" applyFill="1" applyBorder="1" applyAlignment="1">
      <alignment vertical="top" wrapText="1"/>
    </xf>
    <xf numFmtId="0" fontId="28" fillId="45" borderId="31" xfId="0" applyFont="1" applyFill="1" applyBorder="1" applyAlignment="1">
      <alignment vertical="top" wrapText="1"/>
    </xf>
    <xf numFmtId="0" fontId="28" fillId="45" borderId="0" xfId="0" applyFont="1" applyFill="1" applyAlignment="1">
      <alignment vertical="top" wrapText="1"/>
    </xf>
    <xf numFmtId="0" fontId="28" fillId="45" borderId="50" xfId="0" applyFont="1" applyFill="1" applyBorder="1" applyAlignment="1">
      <alignment vertical="top" wrapText="1"/>
    </xf>
    <xf numFmtId="0" fontId="28" fillId="45" borderId="33" xfId="0" applyFont="1" applyFill="1" applyBorder="1" applyAlignment="1">
      <alignment vertical="top" wrapText="1"/>
    </xf>
    <xf numFmtId="0" fontId="28" fillId="45" borderId="27" xfId="0" applyFont="1" applyFill="1" applyBorder="1" applyAlignment="1">
      <alignment vertical="top" wrapText="1"/>
    </xf>
    <xf numFmtId="0" fontId="28" fillId="45" borderId="85" xfId="0" applyFont="1" applyFill="1" applyBorder="1" applyAlignment="1">
      <alignment vertical="top" wrapText="1"/>
    </xf>
    <xf numFmtId="10" fontId="28" fillId="45" borderId="81" xfId="0" applyNumberFormat="1" applyFont="1" applyFill="1" applyBorder="1" applyAlignment="1">
      <alignment horizontal="center" vertical="center" wrapText="1"/>
    </xf>
    <xf numFmtId="165" fontId="28" fillId="45" borderId="37" xfId="0" applyNumberFormat="1" applyFont="1" applyFill="1" applyBorder="1" applyAlignment="1">
      <alignment horizontal="center" vertical="center" wrapText="1"/>
    </xf>
    <xf numFmtId="49" fontId="28" fillId="45" borderId="36" xfId="0" applyNumberFormat="1" applyFont="1" applyFill="1" applyBorder="1" applyAlignment="1">
      <alignment horizontal="center" vertical="top" wrapText="1"/>
    </xf>
    <xf numFmtId="49" fontId="28" fillId="45" borderId="37" xfId="0" applyNumberFormat="1" applyFont="1" applyFill="1" applyBorder="1" applyAlignment="1">
      <alignment horizontal="center" vertical="top" wrapText="1"/>
    </xf>
    <xf numFmtId="49" fontId="28" fillId="45" borderId="86" xfId="0" applyNumberFormat="1" applyFont="1" applyFill="1" applyBorder="1" applyAlignment="1">
      <alignment horizontal="center" vertical="top" wrapText="1"/>
    </xf>
    <xf numFmtId="0" fontId="28" fillId="45" borderId="46" xfId="0" applyFont="1" applyFill="1" applyBorder="1" applyAlignment="1">
      <alignment horizontal="center" vertical="center"/>
    </xf>
    <xf numFmtId="9" fontId="30" fillId="45" borderId="92" xfId="0" applyNumberFormat="1" applyFont="1" applyFill="1" applyBorder="1" applyAlignment="1">
      <alignment horizontal="center" vertical="center"/>
    </xf>
    <xf numFmtId="0" fontId="34" fillId="45" borderId="92" xfId="0" applyFont="1" applyFill="1" applyBorder="1" applyAlignment="1">
      <alignment horizontal="center" vertical="center"/>
    </xf>
    <xf numFmtId="49" fontId="28" fillId="45" borderId="33" xfId="0" applyNumberFormat="1" applyFont="1" applyFill="1" applyBorder="1" applyAlignment="1">
      <alignment horizontal="center" vertical="top" wrapText="1"/>
    </xf>
    <xf numFmtId="49" fontId="28" fillId="45" borderId="27" xfId="0" applyNumberFormat="1" applyFont="1" applyFill="1" applyBorder="1" applyAlignment="1">
      <alignment horizontal="center" vertical="top" wrapText="1"/>
    </xf>
    <xf numFmtId="49" fontId="28" fillId="45" borderId="85" xfId="0" applyNumberFormat="1" applyFont="1" applyFill="1" applyBorder="1" applyAlignment="1">
      <alignment horizontal="center" vertical="top" wrapText="1"/>
    </xf>
    <xf numFmtId="9" fontId="28" fillId="45" borderId="1" xfId="0" applyNumberFormat="1" applyFont="1" applyFill="1" applyBorder="1" applyAlignment="1">
      <alignment horizontal="center" vertical="center"/>
    </xf>
    <xf numFmtId="165" fontId="30" fillId="45" borderId="39" xfId="0" applyNumberFormat="1" applyFont="1" applyFill="1" applyBorder="1" applyAlignment="1" applyProtection="1">
      <alignment horizontal="center" vertical="center"/>
      <protection locked="0"/>
    </xf>
    <xf numFmtId="165" fontId="30" fillId="45" borderId="42" xfId="0" applyNumberFormat="1" applyFont="1" applyFill="1" applyBorder="1" applyAlignment="1" applyProtection="1">
      <alignment horizontal="center" vertical="center"/>
      <protection locked="0"/>
    </xf>
    <xf numFmtId="49" fontId="28" fillId="45" borderId="31" xfId="0" applyNumberFormat="1" applyFont="1" applyFill="1" applyBorder="1" applyAlignment="1">
      <alignment horizontal="center" vertical="top" wrapText="1"/>
    </xf>
    <xf numFmtId="49" fontId="28" fillId="45" borderId="0" xfId="0" applyNumberFormat="1" applyFont="1" applyFill="1" applyAlignment="1">
      <alignment horizontal="center" vertical="top" wrapText="1"/>
    </xf>
    <xf numFmtId="49" fontId="28" fillId="45" borderId="50" xfId="0" applyNumberFormat="1" applyFont="1" applyFill="1" applyBorder="1" applyAlignment="1">
      <alignment horizontal="center" vertical="top" wrapText="1"/>
    </xf>
    <xf numFmtId="9" fontId="28" fillId="45" borderId="8" xfId="0" applyNumberFormat="1" applyFont="1" applyFill="1" applyBorder="1" applyAlignment="1">
      <alignment horizontal="center" vertical="center"/>
    </xf>
    <xf numFmtId="49" fontId="28" fillId="45" borderId="87" xfId="0" applyNumberFormat="1" applyFont="1" applyFill="1" applyBorder="1" applyAlignment="1">
      <alignment horizontal="center" vertical="top" wrapText="1"/>
    </xf>
    <xf numFmtId="49" fontId="28" fillId="45" borderId="26" xfId="0" applyNumberFormat="1" applyFont="1" applyFill="1" applyBorder="1" applyAlignment="1">
      <alignment horizontal="center" vertical="top" wrapText="1"/>
    </xf>
    <xf numFmtId="49" fontId="28" fillId="45" borderId="88" xfId="0" applyNumberFormat="1" applyFont="1" applyFill="1" applyBorder="1" applyAlignment="1">
      <alignment horizontal="center" vertical="top" wrapText="1"/>
    </xf>
    <xf numFmtId="0" fontId="28" fillId="45" borderId="7" xfId="0" applyFont="1" applyFill="1" applyBorder="1" applyAlignment="1">
      <alignment horizontal="center" vertical="center"/>
    </xf>
    <xf numFmtId="165" fontId="30" fillId="45" borderId="53" xfId="0" applyNumberFormat="1" applyFont="1" applyFill="1" applyBorder="1" applyAlignment="1" applyProtection="1">
      <alignment horizontal="center" vertical="center"/>
      <protection locked="0"/>
    </xf>
    <xf numFmtId="165" fontId="30" fillId="45" borderId="44" xfId="0" applyNumberFormat="1" applyFont="1" applyFill="1" applyBorder="1" applyAlignment="1" applyProtection="1">
      <alignment horizontal="center" vertical="center"/>
      <protection locked="0"/>
    </xf>
    <xf numFmtId="9" fontId="30" fillId="45" borderId="78" xfId="0" applyNumberFormat="1" applyFont="1" applyFill="1" applyBorder="1" applyAlignment="1">
      <alignment horizontal="center" vertical="center"/>
    </xf>
    <xf numFmtId="0" fontId="34" fillId="45" borderId="78" xfId="0" applyFont="1" applyFill="1" applyBorder="1" applyAlignment="1">
      <alignment horizontal="center" vertical="center"/>
    </xf>
    <xf numFmtId="0" fontId="27" fillId="45" borderId="79" xfId="0" applyFont="1" applyFill="1" applyBorder="1" applyAlignment="1">
      <alignment horizontal="left"/>
    </xf>
    <xf numFmtId="0" fontId="27" fillId="45" borderId="62" xfId="0" applyFont="1" applyFill="1" applyBorder="1" applyAlignment="1">
      <alignment horizontal="left"/>
    </xf>
    <xf numFmtId="0" fontId="27" fillId="45" borderId="66" xfId="0" applyFont="1" applyFill="1" applyBorder="1" applyAlignment="1">
      <alignment horizontal="left"/>
    </xf>
    <xf numFmtId="0" fontId="28" fillId="45" borderId="62" xfId="0" applyFont="1" applyFill="1" applyBorder="1"/>
    <xf numFmtId="165" fontId="28" fillId="45" borderId="79" xfId="0" applyNumberFormat="1" applyFont="1" applyFill="1" applyBorder="1" applyAlignment="1">
      <alignment horizontal="center" vertical="center"/>
    </xf>
    <xf numFmtId="165" fontId="28" fillId="45" borderId="62" xfId="0" applyNumberFormat="1" applyFont="1" applyFill="1" applyBorder="1" applyAlignment="1">
      <alignment horizontal="center" vertical="center"/>
    </xf>
    <xf numFmtId="165" fontId="28" fillId="45" borderId="65" xfId="0" applyNumberFormat="1" applyFont="1" applyFill="1" applyBorder="1" applyAlignment="1">
      <alignment horizontal="center" vertical="center"/>
    </xf>
    <xf numFmtId="165" fontId="29" fillId="45" borderId="79" xfId="0" applyNumberFormat="1" applyFont="1" applyFill="1" applyBorder="1" applyAlignment="1">
      <alignment horizontal="center"/>
    </xf>
    <xf numFmtId="165" fontId="29" fillId="45" borderId="62" xfId="0" applyNumberFormat="1" applyFont="1" applyFill="1" applyBorder="1" applyAlignment="1">
      <alignment horizontal="center"/>
    </xf>
    <xf numFmtId="10" fontId="28" fillId="45" borderId="10" xfId="0" applyNumberFormat="1" applyFont="1" applyFill="1" applyBorder="1"/>
    <xf numFmtId="10" fontId="30" fillId="45" borderId="10" xfId="0" applyNumberFormat="1" applyFont="1" applyFill="1" applyBorder="1" applyAlignment="1">
      <alignment horizontal="center"/>
    </xf>
    <xf numFmtId="10" fontId="30" fillId="45" borderId="3" xfId="0" applyNumberFormat="1" applyFont="1" applyFill="1" applyBorder="1" applyAlignment="1">
      <alignment horizontal="center"/>
    </xf>
    <xf numFmtId="0" fontId="30" fillId="45" borderId="30" xfId="0" applyFont="1" applyFill="1" applyBorder="1" applyAlignment="1">
      <alignment vertical="center"/>
    </xf>
    <xf numFmtId="0" fontId="30" fillId="45" borderId="30" xfId="0" applyFont="1" applyFill="1" applyBorder="1" applyAlignment="1">
      <alignment horizontal="center" vertical="center"/>
    </xf>
    <xf numFmtId="0" fontId="28" fillId="45" borderId="70" xfId="0" applyFont="1" applyFill="1" applyBorder="1" applyAlignment="1">
      <alignment horizontal="left" vertical="top" wrapText="1"/>
    </xf>
    <xf numFmtId="0" fontId="28" fillId="45" borderId="63" xfId="0" applyFont="1" applyFill="1" applyBorder="1" applyAlignment="1">
      <alignment horizontal="left" vertical="top" wrapText="1"/>
    </xf>
    <xf numFmtId="0" fontId="28" fillId="45" borderId="71" xfId="0" applyFont="1" applyFill="1" applyBorder="1" applyAlignment="1">
      <alignment horizontal="left" vertical="top" wrapText="1"/>
    </xf>
    <xf numFmtId="9" fontId="28" fillId="45" borderId="59" xfId="0" applyNumberFormat="1" applyFont="1" applyFill="1" applyBorder="1" applyAlignment="1">
      <alignment horizontal="center" vertical="center"/>
    </xf>
    <xf numFmtId="10" fontId="28" fillId="45" borderId="54" xfId="0" applyNumberFormat="1" applyFont="1" applyFill="1" applyBorder="1" applyAlignment="1">
      <alignment horizontal="center" vertical="center" wrapText="1"/>
    </xf>
    <xf numFmtId="49" fontId="28" fillId="45" borderId="80" xfId="0" applyNumberFormat="1" applyFont="1" applyFill="1" applyBorder="1" applyAlignment="1">
      <alignment horizontal="left" vertical="top" wrapText="1"/>
    </xf>
    <xf numFmtId="49" fontId="28" fillId="45" borderId="67" xfId="0" applyNumberFormat="1" applyFont="1" applyFill="1" applyBorder="1" applyAlignment="1">
      <alignment horizontal="left" vertical="top" wrapText="1"/>
    </xf>
    <xf numFmtId="0" fontId="28" fillId="45" borderId="67" xfId="0" applyFont="1" applyFill="1" applyBorder="1" applyAlignment="1">
      <alignment horizontal="center" vertical="center"/>
    </xf>
    <xf numFmtId="165" fontId="30" fillId="45" borderId="67" xfId="0" applyNumberFormat="1" applyFont="1" applyFill="1" applyBorder="1" applyAlignment="1" applyProtection="1">
      <alignment horizontal="center" vertical="center"/>
      <protection locked="0"/>
    </xf>
    <xf numFmtId="165" fontId="30" fillId="45" borderId="12" xfId="0" applyNumberFormat="1" applyFont="1" applyFill="1" applyBorder="1" applyAlignment="1" applyProtection="1">
      <alignment horizontal="center" vertical="center"/>
      <protection locked="0"/>
    </xf>
    <xf numFmtId="0" fontId="30" fillId="45" borderId="43" xfId="0" applyFont="1" applyFill="1" applyBorder="1" applyAlignment="1">
      <alignment horizontal="center" vertical="center"/>
    </xf>
    <xf numFmtId="0" fontId="34" fillId="45" borderId="30" xfId="0" applyFont="1" applyFill="1" applyBorder="1" applyAlignment="1">
      <alignment horizontal="center" vertical="center"/>
    </xf>
    <xf numFmtId="9" fontId="28" fillId="45" borderId="60" xfId="0" applyNumberFormat="1" applyFont="1" applyFill="1" applyBorder="1" applyAlignment="1">
      <alignment horizontal="center" vertical="center"/>
    </xf>
    <xf numFmtId="10" fontId="28" fillId="45" borderId="49" xfId="0" applyNumberFormat="1" applyFont="1" applyFill="1" applyBorder="1" applyAlignment="1">
      <alignment horizontal="center" vertical="center" wrapText="1"/>
    </xf>
    <xf numFmtId="0" fontId="30" fillId="45" borderId="48" xfId="0" applyFont="1" applyFill="1" applyBorder="1" applyAlignment="1">
      <alignment horizontal="center" vertical="center"/>
    </xf>
    <xf numFmtId="0" fontId="28" fillId="45" borderId="82" xfId="0" applyFont="1" applyFill="1" applyBorder="1" applyAlignment="1">
      <alignment horizontal="center" vertical="center"/>
    </xf>
    <xf numFmtId="9" fontId="28" fillId="45" borderId="39" xfId="0" applyNumberFormat="1" applyFont="1" applyFill="1" applyBorder="1" applyAlignment="1">
      <alignment horizontal="center" vertical="center"/>
    </xf>
    <xf numFmtId="49" fontId="28" fillId="45" borderId="83" xfId="0" applyNumberFormat="1" applyFont="1" applyFill="1" applyBorder="1" applyAlignment="1">
      <alignment horizontal="left" vertical="top" wrapText="1"/>
    </xf>
    <xf numFmtId="49" fontId="28" fillId="45" borderId="46" xfId="0" applyNumberFormat="1" applyFont="1" applyFill="1" applyBorder="1" applyAlignment="1">
      <alignment horizontal="left" vertical="top" wrapText="1"/>
    </xf>
    <xf numFmtId="165" fontId="30" fillId="45" borderId="46" xfId="0" applyNumberFormat="1" applyFont="1" applyFill="1" applyBorder="1" applyAlignment="1" applyProtection="1">
      <alignment horizontal="center" vertical="center"/>
      <protection locked="0"/>
    </xf>
    <xf numFmtId="165" fontId="30" fillId="45" borderId="11" xfId="0" applyNumberFormat="1" applyFont="1" applyFill="1" applyBorder="1" applyAlignment="1" applyProtection="1">
      <alignment horizontal="center" vertical="center"/>
      <protection locked="0"/>
    </xf>
    <xf numFmtId="9" fontId="28" fillId="45" borderId="61" xfId="0" applyNumberFormat="1" applyFont="1" applyFill="1" applyBorder="1" applyAlignment="1">
      <alignment horizontal="center" vertical="center"/>
    </xf>
    <xf numFmtId="10" fontId="28" fillId="45" borderId="52" xfId="0" applyNumberFormat="1" applyFont="1" applyFill="1" applyBorder="1" applyAlignment="1">
      <alignment horizontal="center" vertical="center" wrapText="1"/>
    </xf>
    <xf numFmtId="165" fontId="28" fillId="45" borderId="7" xfId="0" applyNumberFormat="1" applyFont="1" applyFill="1" applyBorder="1" applyAlignment="1">
      <alignment horizontal="center" vertical="center" wrapText="1"/>
    </xf>
    <xf numFmtId="165" fontId="28" fillId="45" borderId="8" xfId="0" applyNumberFormat="1" applyFont="1" applyFill="1" applyBorder="1" applyAlignment="1">
      <alignment horizontal="center" vertical="center" wrapText="1"/>
    </xf>
    <xf numFmtId="49" fontId="28" fillId="45" borderId="76" xfId="0" applyNumberFormat="1" applyFont="1" applyFill="1" applyBorder="1" applyAlignment="1">
      <alignment horizontal="left" vertical="top" wrapText="1"/>
    </xf>
    <xf numFmtId="49" fontId="28" fillId="45" borderId="84" xfId="0" applyNumberFormat="1" applyFont="1" applyFill="1" applyBorder="1" applyAlignment="1">
      <alignment horizontal="left" vertical="top" wrapText="1"/>
    </xf>
    <xf numFmtId="0" fontId="28" fillId="45" borderId="84" xfId="0" applyFont="1" applyFill="1" applyBorder="1" applyAlignment="1">
      <alignment horizontal="center" vertical="center"/>
    </xf>
    <xf numFmtId="165" fontId="30" fillId="45" borderId="84" xfId="0" applyNumberFormat="1" applyFont="1" applyFill="1" applyBorder="1" applyAlignment="1" applyProtection="1">
      <alignment horizontal="center" vertical="center"/>
      <protection locked="0"/>
    </xf>
    <xf numFmtId="165" fontId="30" fillId="45" borderId="2" xfId="0" applyNumberFormat="1" applyFont="1" applyFill="1" applyBorder="1" applyAlignment="1" applyProtection="1">
      <alignment horizontal="center" vertical="center"/>
      <protection locked="0"/>
    </xf>
    <xf numFmtId="0" fontId="30" fillId="45" borderId="51" xfId="0" applyFont="1" applyFill="1" applyBorder="1" applyAlignment="1">
      <alignment horizontal="center" vertical="center"/>
    </xf>
    <xf numFmtId="0" fontId="29" fillId="45" borderId="62" xfId="0" applyFont="1" applyFill="1" applyBorder="1"/>
    <xf numFmtId="0" fontId="28" fillId="45" borderId="0" xfId="0" applyFont="1" applyFill="1"/>
    <xf numFmtId="165" fontId="29" fillId="45" borderId="79" xfId="0" applyNumberFormat="1" applyFont="1" applyFill="1" applyBorder="1" applyAlignment="1">
      <alignment horizontal="center" vertical="center" wrapText="1"/>
    </xf>
    <xf numFmtId="165" fontId="29" fillId="45" borderId="62" xfId="0" applyNumberFormat="1" applyFont="1" applyFill="1" applyBorder="1" applyAlignment="1">
      <alignment horizontal="center" vertical="center" wrapText="1"/>
    </xf>
    <xf numFmtId="49" fontId="28" fillId="45" borderId="80" xfId="0" applyNumberFormat="1" applyFont="1" applyFill="1" applyBorder="1" applyAlignment="1">
      <alignment horizontal="left" vertical="center" wrapText="1"/>
    </xf>
    <xf numFmtId="49" fontId="28" fillId="45" borderId="67" xfId="0" applyNumberFormat="1" applyFont="1" applyFill="1" applyBorder="1" applyAlignment="1">
      <alignment horizontal="left" vertical="center" wrapText="1"/>
    </xf>
    <xf numFmtId="0" fontId="28" fillId="45" borderId="69" xfId="0" applyFont="1" applyFill="1" applyBorder="1" applyAlignment="1">
      <alignment horizontal="left" vertical="top" wrapText="1"/>
    </xf>
    <xf numFmtId="0" fontId="28" fillId="45" borderId="45" xfId="0" applyFont="1" applyFill="1" applyBorder="1" applyAlignment="1">
      <alignment horizontal="left" vertical="top" wrapText="1"/>
    </xf>
    <xf numFmtId="0" fontId="28" fillId="45" borderId="73" xfId="0" applyFont="1" applyFill="1" applyBorder="1" applyAlignment="1">
      <alignment horizontal="left" vertical="top" wrapText="1"/>
    </xf>
    <xf numFmtId="9" fontId="28" fillId="45" borderId="60" xfId="0" applyNumberFormat="1" applyFont="1" applyFill="1" applyBorder="1" applyAlignment="1">
      <alignment horizontal="center" vertical="center"/>
    </xf>
    <xf numFmtId="49" fontId="28" fillId="45" borderId="81" xfId="0" applyNumberFormat="1" applyFont="1" applyFill="1" applyBorder="1" applyAlignment="1">
      <alignment horizontal="left" vertical="center" wrapText="1"/>
    </xf>
    <xf numFmtId="49" fontId="28" fillId="45" borderId="82" xfId="0" applyNumberFormat="1" applyFont="1" applyFill="1" applyBorder="1" applyAlignment="1">
      <alignment horizontal="left" vertical="center" wrapText="1"/>
    </xf>
    <xf numFmtId="9" fontId="28" fillId="45" borderId="61" xfId="0" applyNumberFormat="1" applyFont="1" applyFill="1" applyBorder="1" applyAlignment="1">
      <alignment horizontal="center" vertical="center"/>
    </xf>
    <xf numFmtId="165" fontId="28" fillId="45" borderId="76" xfId="0" applyNumberFormat="1" applyFont="1" applyFill="1" applyBorder="1" applyAlignment="1">
      <alignment horizontal="left" vertical="top" wrapText="1"/>
    </xf>
    <xf numFmtId="165" fontId="28" fillId="45" borderId="84" xfId="0" applyNumberFormat="1" applyFont="1" applyFill="1" applyBorder="1" applyAlignment="1">
      <alignment horizontal="left" vertical="top" wrapText="1"/>
    </xf>
    <xf numFmtId="9" fontId="28" fillId="45" borderId="32" xfId="0" applyNumberFormat="1" applyFont="1" applyFill="1" applyBorder="1" applyAlignment="1">
      <alignment horizontal="center" vertical="center"/>
    </xf>
    <xf numFmtId="9" fontId="28" fillId="45" borderId="47" xfId="0" applyNumberFormat="1" applyFont="1" applyFill="1" applyBorder="1" applyAlignment="1">
      <alignment horizontal="center" vertical="center"/>
    </xf>
    <xf numFmtId="9" fontId="28" fillId="45" borderId="34" xfId="0" applyNumberFormat="1" applyFont="1" applyFill="1" applyBorder="1" applyAlignment="1">
      <alignment horizontal="center" vertical="center"/>
    </xf>
    <xf numFmtId="0" fontId="28" fillId="45" borderId="75" xfId="0" applyFont="1" applyFill="1" applyBorder="1" applyAlignment="1">
      <alignment horizontal="left" vertical="top" wrapText="1"/>
    </xf>
    <xf numFmtId="0" fontId="28" fillId="45" borderId="38" xfId="0" applyFont="1" applyFill="1" applyBorder="1" applyAlignment="1">
      <alignment horizontal="left" vertical="top" wrapText="1"/>
    </xf>
    <xf numFmtId="9" fontId="28" fillId="45" borderId="34" xfId="0" applyNumberFormat="1" applyFont="1" applyFill="1" applyBorder="1" applyAlignment="1">
      <alignment horizontal="center" vertical="center"/>
    </xf>
    <xf numFmtId="0" fontId="27" fillId="45" borderId="79" xfId="0" applyFont="1" applyFill="1" applyBorder="1" applyAlignment="1">
      <alignment horizontal="left" vertical="top" wrapText="1"/>
    </xf>
    <xf numFmtId="0" fontId="27" fillId="45" borderId="62" xfId="0" applyFont="1" applyFill="1" applyBorder="1" applyAlignment="1">
      <alignment horizontal="left" vertical="top" wrapText="1"/>
    </xf>
    <xf numFmtId="0" fontId="29" fillId="45" borderId="29" xfId="0" applyFont="1" applyFill="1" applyBorder="1"/>
    <xf numFmtId="165" fontId="29" fillId="45" borderId="66" xfId="0" applyNumberFormat="1" applyFont="1" applyFill="1" applyBorder="1" applyAlignment="1">
      <alignment horizontal="center" vertical="center" wrapText="1"/>
    </xf>
    <xf numFmtId="165" fontId="34" fillId="0" borderId="29" xfId="0" applyNumberFormat="1" applyFont="1" applyBorder="1" applyAlignment="1">
      <alignment horizontal="center" vertical="center" wrapText="1"/>
    </xf>
    <xf numFmtId="165" fontId="34" fillId="0" borderId="26" xfId="0" applyNumberFormat="1" applyFont="1" applyBorder="1" applyAlignment="1">
      <alignment horizontal="center" vertical="center" wrapText="1"/>
    </xf>
  </cellXfs>
  <cellStyles count="58">
    <cellStyle name="20 % - Akzent1 2" xfId="33" xr:uid="{00000000-0005-0000-0000-000000000000}"/>
    <cellStyle name="20 % - Akzent2 2" xfId="37" xr:uid="{00000000-0005-0000-0000-000001000000}"/>
    <cellStyle name="20 % - Akzent3 2" xfId="41" xr:uid="{00000000-0005-0000-0000-000002000000}"/>
    <cellStyle name="20 % - Akzent4 2" xfId="45" xr:uid="{00000000-0005-0000-0000-000003000000}"/>
    <cellStyle name="20 % - Akzent5 2" xfId="49" xr:uid="{00000000-0005-0000-0000-000004000000}"/>
    <cellStyle name="20 % - Akzent6 2" xfId="53" xr:uid="{00000000-0005-0000-0000-000005000000}"/>
    <cellStyle name="40 % - Akzent1 2" xfId="34" xr:uid="{00000000-0005-0000-0000-000006000000}"/>
    <cellStyle name="40 % - Akzent2 2" xfId="38" xr:uid="{00000000-0005-0000-0000-000007000000}"/>
    <cellStyle name="40 % - Akzent3 2" xfId="42" xr:uid="{00000000-0005-0000-0000-000008000000}"/>
    <cellStyle name="40 % - Akzent4 2" xfId="46" xr:uid="{00000000-0005-0000-0000-000009000000}"/>
    <cellStyle name="40 % - Akzent5 2" xfId="50" xr:uid="{00000000-0005-0000-0000-00000A000000}"/>
    <cellStyle name="40 % - Akzent6 2" xfId="54" xr:uid="{00000000-0005-0000-0000-00000B000000}"/>
    <cellStyle name="60 % - Akzent1 2" xfId="35" xr:uid="{00000000-0005-0000-0000-00000C000000}"/>
    <cellStyle name="60 % - Akzent2 2" xfId="39" xr:uid="{00000000-0005-0000-0000-00000D000000}"/>
    <cellStyle name="60 % - Akzent3 2" xfId="43" xr:uid="{00000000-0005-0000-0000-00000E000000}"/>
    <cellStyle name="60 % - Akzent4 2" xfId="47" xr:uid="{00000000-0005-0000-0000-00000F000000}"/>
    <cellStyle name="60 % - Akzent5 2" xfId="51" xr:uid="{00000000-0005-0000-0000-000010000000}"/>
    <cellStyle name="60 % - Akzent6 2" xfId="55" xr:uid="{00000000-0005-0000-0000-000011000000}"/>
    <cellStyle name="Akzent1 2" xfId="32" xr:uid="{00000000-0005-0000-0000-000012000000}"/>
    <cellStyle name="Akzent2 2" xfId="36" xr:uid="{00000000-0005-0000-0000-000013000000}"/>
    <cellStyle name="Akzent3 2" xfId="40" xr:uid="{00000000-0005-0000-0000-000014000000}"/>
    <cellStyle name="Akzent4 2" xfId="44" xr:uid="{00000000-0005-0000-0000-000015000000}"/>
    <cellStyle name="Akzent5 2" xfId="48" xr:uid="{00000000-0005-0000-0000-000016000000}"/>
    <cellStyle name="Akzent6 2" xfId="52" xr:uid="{00000000-0005-0000-0000-000017000000}"/>
    <cellStyle name="Ausgabe 2" xfId="24" xr:uid="{00000000-0005-0000-0000-000018000000}"/>
    <cellStyle name="Berechnung 2" xfId="25" xr:uid="{00000000-0005-0000-0000-000019000000}"/>
    <cellStyle name="Eingabe 2" xfId="23" xr:uid="{00000000-0005-0000-0000-00001A000000}"/>
    <cellStyle name="Ergebnis 2" xfId="31" xr:uid="{00000000-0005-0000-0000-00001B000000}"/>
    <cellStyle name="Erklärender Text 2" xfId="30" xr:uid="{00000000-0005-0000-0000-00001C000000}"/>
    <cellStyle name="Gut 2" xfId="20" xr:uid="{00000000-0005-0000-0000-00001D000000}"/>
    <cellStyle name="Hyperlink 2" xfId="57" xr:uid="{00000000-0005-0000-0000-00001E000000}"/>
    <cellStyle name="Komma 2" xfId="11" xr:uid="{00000000-0005-0000-0000-00001F000000}"/>
    <cellStyle name="Neutral 2" xfId="22" xr:uid="{00000000-0005-0000-0000-000020000000}"/>
    <cellStyle name="Notiz 2" xfId="29" xr:uid="{00000000-0005-0000-0000-000021000000}"/>
    <cellStyle name="Prozent 2" xfId="10" xr:uid="{00000000-0005-0000-0000-000022000000}"/>
    <cellStyle name="Schlecht 2" xfId="21" xr:uid="{00000000-0005-0000-0000-000023000000}"/>
    <cellStyle name="Standard" xfId="0" builtinId="0"/>
    <cellStyle name="Standard 2" xfId="1" xr:uid="{00000000-0005-0000-0000-000025000000}"/>
    <cellStyle name="Standard 2 2" xfId="15" xr:uid="{00000000-0005-0000-0000-000026000000}"/>
    <cellStyle name="Standard 3" xfId="4" xr:uid="{00000000-0005-0000-0000-000027000000}"/>
    <cellStyle name="Standard 3 2" xfId="56" xr:uid="{00000000-0005-0000-0000-000028000000}"/>
    <cellStyle name="Standard 4" xfId="2" xr:uid="{00000000-0005-0000-0000-000029000000}"/>
    <cellStyle name="Standard 4 2" xfId="6" xr:uid="{00000000-0005-0000-0000-00002A000000}"/>
    <cellStyle name="Standard 5" xfId="3" xr:uid="{00000000-0005-0000-0000-00002B000000}"/>
    <cellStyle name="Standard 5 2" xfId="7" xr:uid="{00000000-0005-0000-0000-00002C000000}"/>
    <cellStyle name="Standard 6" xfId="8" xr:uid="{00000000-0005-0000-0000-00002D000000}"/>
    <cellStyle name="Standard 7" xfId="13" xr:uid="{00000000-0005-0000-0000-00002E000000}"/>
    <cellStyle name="Überschrift" xfId="12" builtinId="15" customBuiltin="1"/>
    <cellStyle name="Überschrift 1 2" xfId="16" xr:uid="{00000000-0005-0000-0000-000030000000}"/>
    <cellStyle name="Überschrift 2 2" xfId="17" xr:uid="{00000000-0005-0000-0000-000031000000}"/>
    <cellStyle name="Überschrift 3 2" xfId="18" xr:uid="{00000000-0005-0000-0000-000032000000}"/>
    <cellStyle name="Überschrift 4 2" xfId="19" xr:uid="{00000000-0005-0000-0000-000033000000}"/>
    <cellStyle name="Verknüpfte Zelle 2" xfId="26" xr:uid="{00000000-0005-0000-0000-000034000000}"/>
    <cellStyle name="Währung" xfId="5" builtinId="4"/>
    <cellStyle name="Währung 2" xfId="9" xr:uid="{00000000-0005-0000-0000-000036000000}"/>
    <cellStyle name="Währung 3" xfId="14" xr:uid="{00000000-0005-0000-0000-000037000000}"/>
    <cellStyle name="Warnender Text 2" xfId="28" xr:uid="{00000000-0005-0000-0000-000038000000}"/>
    <cellStyle name="Zelle überprüfen 2" xfId="27" xr:uid="{00000000-0005-0000-0000-000039000000}"/>
  </cellStyles>
  <dxfs count="519">
    <dxf>
      <fill>
        <patternFill>
          <bgColor rgb="FF92D050"/>
        </patternFill>
      </fill>
    </dxf>
    <dxf>
      <fill>
        <patternFill>
          <bgColor theme="9" tint="-0.24994659260841701"/>
        </patternFill>
      </fill>
    </dxf>
    <dxf>
      <font>
        <color auto="1"/>
      </font>
      <border>
        <left style="thin">
          <color auto="1"/>
        </left>
        <right style="thin">
          <color auto="1"/>
        </right>
        <top style="thin">
          <color auto="1"/>
        </top>
        <bottom style="thin">
          <color auto="1"/>
        </bottom>
        <vertical/>
        <horizontal/>
      </border>
    </dxf>
    <dxf>
      <fill>
        <patternFill>
          <bgColor theme="4" tint="0.79998168889431442"/>
        </patternFill>
      </fill>
    </dxf>
    <dxf>
      <font>
        <color auto="1"/>
      </font>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auto="1"/>
      </font>
      <border>
        <left style="thin">
          <color auto="1"/>
        </left>
        <right style="thin">
          <color auto="1"/>
        </right>
        <top style="thin">
          <color auto="1"/>
        </top>
        <bottom style="thin">
          <color auto="1"/>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auto="1"/>
      </font>
      <border>
        <left style="thin">
          <color auto="1"/>
        </left>
        <right style="thin">
          <color auto="1"/>
        </right>
        <top style="thin">
          <color auto="1"/>
        </top>
        <bottom style="thin">
          <color auto="1"/>
        </bottom>
        <vertical/>
        <horizontal/>
      </border>
    </dxf>
    <dxf>
      <fill>
        <patternFill>
          <bgColor theme="4" tint="0.79998168889431442"/>
        </patternFill>
      </fill>
    </dxf>
    <dxf>
      <font>
        <color auto="1"/>
      </font>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dxf>
    <dxf>
      <font>
        <color theme="0"/>
      </font>
    </dxf>
    <dxf>
      <font>
        <color theme="0"/>
      </font>
    </dxf>
    <dxf>
      <font>
        <color theme="0"/>
      </font>
    </dxf>
    <dxf>
      <fill>
        <patternFill>
          <bgColor theme="9" tint="-0.2499465926084170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theme="0"/>
      </font>
    </dxf>
    <dxf>
      <fill>
        <patternFill>
          <bgColor theme="9"/>
        </patternFill>
      </fill>
    </dxf>
    <dxf>
      <font>
        <color theme="0"/>
      </font>
    </dxf>
    <dxf>
      <fill>
        <patternFill>
          <bgColor theme="9" tint="-0.24994659260841701"/>
        </patternFill>
      </fill>
    </dxf>
    <dxf>
      <font>
        <color auto="1"/>
      </font>
      <border>
        <left style="thin">
          <color auto="1"/>
        </left>
        <right style="thin">
          <color auto="1"/>
        </right>
        <top style="thin">
          <color auto="1"/>
        </top>
        <bottom style="thin">
          <color auto="1"/>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theme="3" tint="0.79998168889431442"/>
        </patternFill>
      </fill>
    </dxf>
    <dxf>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ont>
        <color theme="1"/>
      </font>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dxf>
    <dxf>
      <font>
        <color theme="1"/>
      </font>
    </dxf>
    <dxf>
      <font>
        <color auto="1"/>
      </font>
    </dxf>
    <dxf>
      <fill>
        <patternFill>
          <bgColor theme="9" tint="-0.24994659260841701"/>
        </patternFill>
      </fill>
    </dxf>
    <dxf>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auto="1"/>
        </top>
        <bottom style="thin">
          <color auto="1"/>
        </bottom>
        <vertical/>
        <horizontal/>
      </border>
    </dxf>
    <dxf>
      <fill>
        <patternFill patternType="lightGray"/>
      </fill>
    </dxf>
  </dxfs>
  <tableStyles count="0" defaultTableStyle="TableStyleMedium9" defaultPivotStyle="PivotStyleLight16"/>
  <colors>
    <mruColors>
      <color rgb="FFF4F7FA"/>
      <color rgb="FF66FF99"/>
      <color rgb="FFDCE6F1"/>
      <color rgb="FF99FF66"/>
      <color rgb="FFFBFDA9"/>
      <color rgb="FFD2F4A8"/>
      <color rgb="FFE6D364"/>
      <color rgb="FFF0F7AB"/>
      <color rgb="FFF3EAB3"/>
      <color rgb="FFF9F4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annes Klinger" id="{049A24C9-9973-4603-B184-EA22C418D25B}" userId="S::Hannes.Klinger@wbm.de::00108cd1-e377-43a4-8ef5-4c00a066e44b"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3" dT="2023-11-06T14:28:23.02" personId="{049A24C9-9973-4603-B184-EA22C418D25B}" id="{7731A16A-03BB-474B-B5ED-B83A0C6F10FE}">
    <text>Summe siehe Hochbauplanung</text>
  </threadedComment>
</ThreadedComments>
</file>

<file path=xl/threadedComments/threadedComment2.xml><?xml version="1.0" encoding="utf-8"?>
<ThreadedComments xmlns="http://schemas.microsoft.com/office/spreadsheetml/2018/threadedcomments" xmlns:x="http://schemas.openxmlformats.org/spreadsheetml/2006/main">
  <threadedComment ref="G29" dT="2023-11-06T09:00:28.45" personId="{049A24C9-9973-4603-B184-EA22C418D25B}" id="{631B42D0-71E9-449C-A0C2-09796835B115}">
    <text>Z.Zt. Keine Hausnummer 
(Wann werden diese festgelegt?)</text>
  </threadedComment>
  <threadedComment ref="B73" dT="2023-11-06T09:09:33.75" personId="{049A24C9-9973-4603-B184-EA22C418D25B}" id="{9425533C-8B8E-4797-8603-2582381F2C05}">
    <text>Neubauvorhaben ohne Bestand</text>
  </threadedComment>
</ThreadedComments>
</file>

<file path=xl/threadedComments/threadedComment3.xml><?xml version="1.0" encoding="utf-8"?>
<ThreadedComments xmlns="http://schemas.microsoft.com/office/spreadsheetml/2018/threadedcomments" xmlns:x="http://schemas.openxmlformats.org/spreadsheetml/2006/main">
  <threadedComment ref="J272" dT="2023-11-06T13:59:07.20" personId="{049A24C9-9973-4603-B184-EA22C418D25B}" id="{11177048-8247-4413-968E-B1ECCFF77E27}">
    <text>Summe erschließt sich nicht
Rechnerisch: 
669.856,62 * 25,55% = 171.148,37
Oder per Hand:
11.052,63 + 43.540,68 + 98.133,99 + 18.421,06 = 171.148,36</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CA91-0C39-42CD-BA7F-B03ED3634632}">
  <dimension ref="A1:G30"/>
  <sheetViews>
    <sheetView workbookViewId="0">
      <selection activeCell="F22" sqref="F22"/>
    </sheetView>
  </sheetViews>
  <sheetFormatPr baseColWidth="10" defaultColWidth="11.44140625" defaultRowHeight="14.55" x14ac:dyDescent="0.3"/>
  <cols>
    <col min="6" max="6" width="25.109375" customWidth="1"/>
    <col min="7" max="7" width="15.5546875" customWidth="1"/>
  </cols>
  <sheetData>
    <row r="1" spans="1:7" ht="15.8" x14ac:dyDescent="0.3">
      <c r="A1" s="322"/>
      <c r="B1" s="323"/>
      <c r="C1" s="323"/>
      <c r="D1" s="323"/>
      <c r="E1" s="323"/>
      <c r="F1" s="323"/>
      <c r="G1" s="323"/>
    </row>
    <row r="2" spans="1:7" ht="15.8" x14ac:dyDescent="0.3">
      <c r="A2" s="324"/>
      <c r="B2" s="323"/>
      <c r="C2" s="323"/>
      <c r="D2" s="323"/>
      <c r="E2" s="323"/>
      <c r="F2" s="323"/>
      <c r="G2" s="323"/>
    </row>
    <row r="3" spans="1:7" ht="15.8" x14ac:dyDescent="0.3">
      <c r="A3" s="324"/>
      <c r="B3" s="323"/>
      <c r="C3" s="323"/>
      <c r="D3" s="323"/>
      <c r="E3" s="323"/>
      <c r="F3" s="323"/>
      <c r="G3" s="323"/>
    </row>
    <row r="4" spans="1:7" ht="19.600000000000001" x14ac:dyDescent="0.3">
      <c r="A4" s="325"/>
      <c r="B4" s="326" t="s">
        <v>0</v>
      </c>
      <c r="C4" s="323"/>
      <c r="D4" s="323"/>
      <c r="E4" s="323"/>
      <c r="F4" s="323"/>
      <c r="G4" s="323"/>
    </row>
    <row r="5" spans="1:7" ht="19.600000000000001" x14ac:dyDescent="0.3">
      <c r="A5" s="325"/>
      <c r="B5" s="326" t="s">
        <v>1</v>
      </c>
      <c r="C5" s="323"/>
      <c r="D5" s="323"/>
      <c r="E5" s="323"/>
      <c r="F5" s="323"/>
      <c r="G5" s="323"/>
    </row>
    <row r="6" spans="1:7" ht="19.600000000000001" x14ac:dyDescent="0.3">
      <c r="A6" s="325"/>
      <c r="B6" s="681" t="str">
        <f>IF(Überblick!F2=0,"",Überblick!F2)</f>
        <v>Breite Straße, 10178 Berlin-Mitte, Los 2, Flur 466 / Teile Flur 465</v>
      </c>
      <c r="C6" s="681"/>
      <c r="D6" s="681"/>
      <c r="E6" s="323"/>
      <c r="F6" s="323"/>
      <c r="G6" s="323"/>
    </row>
    <row r="7" spans="1:7" ht="19.600000000000001" x14ac:dyDescent="0.3">
      <c r="A7" s="327"/>
      <c r="B7" s="681"/>
      <c r="C7" s="681"/>
      <c r="D7" s="681"/>
      <c r="E7" s="323"/>
      <c r="F7" s="323"/>
      <c r="G7" s="323"/>
    </row>
    <row r="8" spans="1:7" ht="19.600000000000001" x14ac:dyDescent="0.3">
      <c r="A8" s="327"/>
      <c r="B8" s="323"/>
      <c r="C8" s="323"/>
      <c r="D8" s="323"/>
      <c r="E8" s="323"/>
      <c r="F8" s="323"/>
      <c r="G8" s="323"/>
    </row>
    <row r="9" spans="1:7" ht="19.600000000000001" x14ac:dyDescent="0.3">
      <c r="A9" s="327"/>
      <c r="B9" s="323"/>
      <c r="C9" s="323"/>
      <c r="D9" s="323"/>
      <c r="E9" s="323"/>
      <c r="F9" s="323"/>
      <c r="G9" s="323"/>
    </row>
    <row r="10" spans="1:7" ht="19.600000000000001" x14ac:dyDescent="0.3">
      <c r="A10" s="327"/>
      <c r="B10" s="323"/>
      <c r="C10" s="323"/>
      <c r="D10" s="323"/>
      <c r="E10" s="323"/>
      <c r="F10" s="323"/>
      <c r="G10" s="323"/>
    </row>
    <row r="11" spans="1:7" ht="19.600000000000001" x14ac:dyDescent="0.3">
      <c r="A11" s="327"/>
      <c r="B11" s="323"/>
      <c r="C11" s="323"/>
      <c r="D11" s="323"/>
      <c r="E11" s="323"/>
      <c r="F11" s="323"/>
      <c r="G11" s="323"/>
    </row>
    <row r="12" spans="1:7" ht="19.600000000000001" x14ac:dyDescent="0.3">
      <c r="A12" s="327"/>
      <c r="B12" s="323"/>
      <c r="C12" s="323"/>
      <c r="D12" s="323"/>
      <c r="E12" s="323"/>
      <c r="F12" s="323"/>
      <c r="G12" s="323"/>
    </row>
    <row r="13" spans="1:7" ht="19.600000000000001" x14ac:dyDescent="0.3">
      <c r="A13" s="323"/>
      <c r="B13" s="323"/>
      <c r="C13" s="327" t="s">
        <v>2</v>
      </c>
      <c r="D13" s="323"/>
      <c r="E13" s="327"/>
      <c r="F13" s="664">
        <f>Überblick!A1</f>
        <v>0</v>
      </c>
      <c r="G13" s="325" t="s">
        <v>3</v>
      </c>
    </row>
    <row r="14" spans="1:7" ht="19.600000000000001" x14ac:dyDescent="0.3">
      <c r="A14" s="323"/>
      <c r="B14" s="323"/>
      <c r="C14" s="323"/>
      <c r="D14" s="323"/>
      <c r="E14" s="327"/>
      <c r="F14" s="323"/>
      <c r="G14" s="323"/>
    </row>
    <row r="15" spans="1:7" ht="19.600000000000001" hidden="1" x14ac:dyDescent="0.3">
      <c r="A15" s="327"/>
      <c r="B15" s="323"/>
      <c r="C15" s="327" t="s">
        <v>4</v>
      </c>
      <c r="D15" s="323"/>
      <c r="E15" s="323"/>
      <c r="F15" s="349">
        <v>0</v>
      </c>
      <c r="G15" s="325" t="s">
        <v>5</v>
      </c>
    </row>
    <row r="16" spans="1:7" ht="19.600000000000001" hidden="1" x14ac:dyDescent="0.3">
      <c r="A16" s="323"/>
      <c r="B16" s="323"/>
      <c r="C16" s="323"/>
      <c r="D16" s="323"/>
      <c r="E16" s="327"/>
      <c r="F16" s="323"/>
      <c r="G16" s="323"/>
    </row>
    <row r="17" spans="1:7" ht="19.600000000000001" hidden="1" x14ac:dyDescent="0.3">
      <c r="A17" s="327"/>
      <c r="B17" s="323"/>
      <c r="C17" s="327" t="s">
        <v>6</v>
      </c>
      <c r="D17" s="323"/>
      <c r="E17" s="323"/>
      <c r="F17" s="341">
        <f>F13-(F13*F15/100)</f>
        <v>0</v>
      </c>
      <c r="G17" s="325" t="s">
        <v>3</v>
      </c>
    </row>
    <row r="18" spans="1:7" ht="19.600000000000001" x14ac:dyDescent="0.3">
      <c r="A18" s="327"/>
      <c r="B18" s="323"/>
      <c r="C18" s="327"/>
      <c r="D18" s="323"/>
      <c r="E18" s="323"/>
      <c r="F18" s="328"/>
      <c r="G18" s="325"/>
    </row>
    <row r="19" spans="1:7" ht="19.600000000000001" x14ac:dyDescent="0.3">
      <c r="A19" s="323"/>
      <c r="B19" s="323"/>
      <c r="C19" s="327" t="s">
        <v>7</v>
      </c>
      <c r="D19" s="323"/>
      <c r="E19" s="327"/>
      <c r="F19" s="341">
        <f>F13*0.19</f>
        <v>0</v>
      </c>
      <c r="G19" s="325" t="s">
        <v>3</v>
      </c>
    </row>
    <row r="20" spans="1:7" ht="19.600000000000001" x14ac:dyDescent="0.3">
      <c r="A20" s="327"/>
      <c r="B20" s="323"/>
      <c r="C20" s="327" t="s">
        <v>8</v>
      </c>
      <c r="D20" s="323"/>
      <c r="E20" s="323"/>
      <c r="F20" s="331">
        <f>Überblick!G97</f>
        <v>0.19</v>
      </c>
      <c r="G20" s="325" t="s">
        <v>5</v>
      </c>
    </row>
    <row r="21" spans="1:7" ht="19.600000000000001" x14ac:dyDescent="0.3">
      <c r="A21" s="323"/>
      <c r="B21" s="323"/>
      <c r="C21" s="323"/>
      <c r="D21" s="323"/>
      <c r="E21" s="327"/>
      <c r="F21" s="323"/>
      <c r="G21" s="327"/>
    </row>
    <row r="22" spans="1:7" ht="19.600000000000001" x14ac:dyDescent="0.3">
      <c r="A22" s="323"/>
      <c r="B22" s="323"/>
      <c r="C22" s="327" t="s">
        <v>9</v>
      </c>
      <c r="D22" s="323"/>
      <c r="E22" s="327"/>
      <c r="F22" s="664">
        <f>F13+F19</f>
        <v>0</v>
      </c>
      <c r="G22" s="325" t="s">
        <v>3</v>
      </c>
    </row>
    <row r="23" spans="1:7" ht="19.600000000000001" x14ac:dyDescent="0.3">
      <c r="A23" s="327"/>
      <c r="B23" s="323"/>
      <c r="C23" s="327"/>
      <c r="D23" s="323"/>
      <c r="E23" s="323"/>
      <c r="F23" s="323"/>
      <c r="G23" s="323"/>
    </row>
    <row r="24" spans="1:7" ht="19.600000000000001" x14ac:dyDescent="0.3">
      <c r="A24" s="327"/>
      <c r="B24" s="323"/>
      <c r="C24" s="323"/>
      <c r="D24" s="323"/>
      <c r="E24" s="323"/>
      <c r="F24" s="323"/>
      <c r="G24" s="323"/>
    </row>
    <row r="25" spans="1:7" ht="19.600000000000001" x14ac:dyDescent="0.3">
      <c r="A25" s="327"/>
      <c r="B25" s="323"/>
      <c r="C25" s="323"/>
      <c r="D25" s="323"/>
      <c r="E25" s="323"/>
      <c r="F25" s="323"/>
      <c r="G25" s="323"/>
    </row>
    <row r="26" spans="1:7" ht="19.600000000000001" x14ac:dyDescent="0.3">
      <c r="A26" s="327"/>
      <c r="B26" s="323"/>
      <c r="C26" s="323"/>
      <c r="D26" s="323"/>
      <c r="E26" s="323"/>
      <c r="F26" s="323"/>
      <c r="G26" s="323"/>
    </row>
    <row r="27" spans="1:7" ht="19.600000000000001" x14ac:dyDescent="0.3">
      <c r="A27" s="327"/>
      <c r="B27" s="323"/>
      <c r="C27" s="323"/>
      <c r="D27" s="323"/>
      <c r="E27" s="323"/>
      <c r="F27" s="323"/>
      <c r="G27" s="323"/>
    </row>
    <row r="28" spans="1:7" ht="19.600000000000001" x14ac:dyDescent="0.3">
      <c r="A28" s="327"/>
      <c r="B28" s="323"/>
      <c r="C28" s="323"/>
      <c r="D28" s="323"/>
      <c r="E28" s="323"/>
      <c r="F28" s="323"/>
      <c r="G28" s="323"/>
    </row>
    <row r="29" spans="1:7" ht="15.8" hidden="1" x14ac:dyDescent="0.3">
      <c r="A29" s="322" t="s">
        <v>10</v>
      </c>
      <c r="B29" s="323"/>
      <c r="C29" s="323"/>
      <c r="D29" s="323"/>
      <c r="E29" s="323"/>
      <c r="F29" s="323"/>
      <c r="G29" s="323"/>
    </row>
    <row r="30" spans="1:7" ht="15.8" hidden="1" x14ac:dyDescent="0.3">
      <c r="A30" s="329" t="s">
        <v>11</v>
      </c>
      <c r="B30" s="330"/>
      <c r="C30" s="330"/>
      <c r="D30" s="323"/>
      <c r="E30" s="323"/>
      <c r="F30" s="323"/>
      <c r="G30" s="323"/>
    </row>
  </sheetData>
  <protectedRanges>
    <protectedRange sqref="F15" name="Bereich1"/>
  </protectedRanges>
  <mergeCells count="1">
    <mergeCell ref="B6:D7"/>
  </mergeCells>
  <conditionalFormatting sqref="A1:XFD5 A8:XFD1048576 A6:B6 A7 E6:XFD7">
    <cfRule type="expression" dxfId="518" priority="1">
      <formula>CELL("Schutz",A1)=0</formula>
    </cfRule>
  </conditionalFormatting>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6A3C-5E05-49F3-8A55-08DD18298070}">
  <sheetPr codeName="Tabelle2">
    <tabColor theme="0" tint="-0.499984740745262"/>
  </sheetPr>
  <dimension ref="A1:BP136"/>
  <sheetViews>
    <sheetView zoomScaleNormal="100" workbookViewId="0">
      <selection activeCell="S15" sqref="S15"/>
    </sheetView>
  </sheetViews>
  <sheetFormatPr baseColWidth="10" defaultColWidth="0" defaultRowHeight="13.9" outlineLevelRow="1" x14ac:dyDescent="0.25"/>
  <cols>
    <col min="1" max="1" width="6.6640625" style="27" bestFit="1" customWidth="1"/>
    <col min="2" max="3" width="9.33203125" style="8" customWidth="1"/>
    <col min="4" max="4" width="11.6640625" style="8" customWidth="1"/>
    <col min="5" max="5" width="10" style="8" customWidth="1"/>
    <col min="6" max="10" width="9.33203125" style="8" customWidth="1"/>
    <col min="11" max="11" width="10.33203125" style="8" customWidth="1"/>
    <col min="12" max="12" width="11" style="8" customWidth="1"/>
    <col min="13" max="18" width="9.33203125" style="35" customWidth="1"/>
    <col min="19" max="41" width="7.44140625" style="38" customWidth="1"/>
    <col min="42" max="45" width="7.44140625" style="35" customWidth="1"/>
    <col min="46" max="47" width="11.44140625" style="35" customWidth="1"/>
    <col min="48" max="68" width="0" style="35" hidden="1" customWidth="1"/>
    <col min="69" max="16384" width="0" style="8" hidden="1"/>
  </cols>
  <sheetData>
    <row r="1" spans="1:41" x14ac:dyDescent="0.25">
      <c r="A1" s="363">
        <f>H95</f>
        <v>0</v>
      </c>
      <c r="H1" s="386" t="s">
        <v>12</v>
      </c>
      <c r="Q1" s="689" t="s">
        <v>692</v>
      </c>
      <c r="R1" s="689"/>
    </row>
    <row r="2" spans="1:41" x14ac:dyDescent="0.25">
      <c r="A2" s="359" t="s">
        <v>13</v>
      </c>
      <c r="B2" s="115" t="s">
        <v>14</v>
      </c>
      <c r="F2" s="688" t="s">
        <v>680</v>
      </c>
      <c r="G2" s="688"/>
      <c r="H2" s="688"/>
      <c r="I2" s="688"/>
      <c r="J2" s="688"/>
      <c r="K2" s="688"/>
      <c r="L2" s="688"/>
      <c r="M2" s="688"/>
      <c r="N2" s="688"/>
      <c r="O2" s="688"/>
      <c r="P2" s="35" t="s">
        <v>15</v>
      </c>
      <c r="Q2" s="684"/>
      <c r="R2" s="684"/>
    </row>
    <row r="3" spans="1:41" outlineLevel="1" x14ac:dyDescent="0.25">
      <c r="J3" s="35"/>
      <c r="K3" s="35"/>
    </row>
    <row r="4" spans="1:41" outlineLevel="1" x14ac:dyDescent="0.25">
      <c r="A4" s="27" t="s">
        <v>16</v>
      </c>
      <c r="B4" s="9" t="s">
        <v>17</v>
      </c>
      <c r="J4" s="35"/>
      <c r="K4" s="35"/>
      <c r="L4" s="247" t="s">
        <v>14</v>
      </c>
    </row>
    <row r="5" spans="1:41" ht="15" customHeight="1" outlineLevel="1" x14ac:dyDescent="0.25">
      <c r="J5" s="35"/>
      <c r="K5" s="35"/>
      <c r="L5" s="38" t="s">
        <v>18</v>
      </c>
      <c r="S5" s="750"/>
      <c r="T5" s="750"/>
      <c r="U5" s="750"/>
    </row>
    <row r="6" spans="1:41" ht="17.7" outlineLevel="1" x14ac:dyDescent="0.3">
      <c r="B6" s="596" t="s">
        <v>19</v>
      </c>
      <c r="J6" s="35"/>
      <c r="K6" s="35"/>
      <c r="L6" s="38"/>
      <c r="S6" s="750"/>
      <c r="T6" s="750"/>
      <c r="U6" s="750"/>
    </row>
    <row r="7" spans="1:41" outlineLevel="1" x14ac:dyDescent="0.25">
      <c r="B7" s="82" t="s">
        <v>688</v>
      </c>
      <c r="J7" s="35"/>
      <c r="K7" s="35"/>
      <c r="L7" s="38"/>
      <c r="O7" s="38" t="e">
        <f>SUM(T84:T136)</f>
        <v>#REF!</v>
      </c>
      <c r="S7" s="750"/>
      <c r="T7" s="750"/>
      <c r="U7" s="750"/>
    </row>
    <row r="8" spans="1:41" ht="17.7" outlineLevel="1" x14ac:dyDescent="0.3">
      <c r="B8" s="596" t="s">
        <v>689</v>
      </c>
      <c r="J8" s="35"/>
      <c r="L8" s="38"/>
      <c r="O8" s="248"/>
      <c r="S8" s="750"/>
      <c r="T8" s="750"/>
      <c r="U8" s="750"/>
    </row>
    <row r="9" spans="1:41" outlineLevel="1" x14ac:dyDescent="0.25">
      <c r="B9" s="710" t="s">
        <v>691</v>
      </c>
      <c r="C9" s="710"/>
      <c r="D9" s="710"/>
      <c r="E9" s="710"/>
      <c r="F9" s="710"/>
      <c r="G9" s="710"/>
      <c r="H9" s="710"/>
      <c r="I9" s="710"/>
      <c r="J9" s="710"/>
      <c r="K9" s="710"/>
      <c r="L9" s="710"/>
      <c r="M9" s="710"/>
      <c r="N9" s="710"/>
      <c r="O9" s="710"/>
      <c r="P9" s="710"/>
      <c r="S9" s="750"/>
      <c r="T9" s="750"/>
      <c r="U9" s="750"/>
    </row>
    <row r="10" spans="1:41" outlineLevel="1" x14ac:dyDescent="0.25">
      <c r="B10" s="710"/>
      <c r="C10" s="710"/>
      <c r="D10" s="710"/>
      <c r="E10" s="710"/>
      <c r="F10" s="710"/>
      <c r="G10" s="710"/>
      <c r="H10" s="710"/>
      <c r="I10" s="710"/>
      <c r="J10" s="710"/>
      <c r="K10" s="710"/>
      <c r="L10" s="710"/>
      <c r="M10" s="710"/>
      <c r="N10" s="710"/>
      <c r="O10" s="710"/>
      <c r="P10" s="710"/>
      <c r="S10" s="750"/>
      <c r="T10" s="750"/>
      <c r="U10" s="750"/>
    </row>
    <row r="11" spans="1:41" outlineLevel="1" x14ac:dyDescent="0.25">
      <c r="B11" s="710"/>
      <c r="C11" s="710"/>
      <c r="D11" s="710"/>
      <c r="E11" s="710"/>
      <c r="F11" s="710"/>
      <c r="G11" s="710"/>
      <c r="H11" s="710"/>
      <c r="I11" s="710"/>
      <c r="J11" s="710"/>
      <c r="K11" s="710"/>
      <c r="L11" s="710"/>
      <c r="M11" s="710"/>
      <c r="N11" s="710"/>
      <c r="O11" s="710"/>
      <c r="P11" s="710"/>
    </row>
    <row r="12" spans="1:41" outlineLevel="1" x14ac:dyDescent="0.25">
      <c r="B12" s="710"/>
      <c r="C12" s="710"/>
      <c r="D12" s="710"/>
      <c r="E12" s="710"/>
      <c r="F12" s="710"/>
      <c r="G12" s="710"/>
      <c r="H12" s="710"/>
      <c r="I12" s="710"/>
      <c r="J12" s="710"/>
      <c r="K12" s="710"/>
      <c r="L12" s="710"/>
      <c r="M12" s="710"/>
      <c r="N12" s="710"/>
      <c r="O12" s="710"/>
      <c r="P12" s="710"/>
    </row>
    <row r="13" spans="1:41" outlineLevel="1" x14ac:dyDescent="0.25">
      <c r="B13" s="710"/>
      <c r="C13" s="710"/>
      <c r="D13" s="710"/>
      <c r="E13" s="710"/>
      <c r="F13" s="710"/>
      <c r="G13" s="710"/>
      <c r="H13" s="710"/>
      <c r="I13" s="710"/>
      <c r="J13" s="710"/>
      <c r="K13" s="710"/>
      <c r="L13" s="710"/>
      <c r="M13" s="710"/>
      <c r="N13" s="710"/>
      <c r="O13" s="710"/>
      <c r="P13" s="710"/>
    </row>
    <row r="14" spans="1:41" outlineLevel="1" x14ac:dyDescent="0.25">
      <c r="B14" s="710"/>
      <c r="C14" s="710"/>
      <c r="D14" s="710"/>
      <c r="E14" s="710"/>
      <c r="F14" s="710"/>
      <c r="G14" s="710"/>
      <c r="H14" s="710"/>
      <c r="I14" s="710"/>
      <c r="J14" s="710"/>
      <c r="K14" s="710"/>
      <c r="L14" s="710"/>
      <c r="M14" s="710"/>
      <c r="N14" s="710"/>
      <c r="O14" s="710"/>
      <c r="P14" s="710"/>
    </row>
    <row r="15" spans="1:41" ht="17.7" x14ac:dyDescent="0.3">
      <c r="B15" s="597" t="s">
        <v>690</v>
      </c>
      <c r="J15" s="35"/>
      <c r="K15" s="35"/>
      <c r="L15" s="38"/>
      <c r="O15" s="248"/>
    </row>
    <row r="16" spans="1:41" s="35" customFormat="1" x14ac:dyDescent="0.25">
      <c r="A16" s="380"/>
      <c r="B16" s="371"/>
      <c r="O16" s="248"/>
      <c r="S16" s="38"/>
      <c r="T16" s="38"/>
      <c r="U16" s="38"/>
      <c r="V16" s="38"/>
      <c r="W16" s="38"/>
      <c r="X16" s="38"/>
      <c r="Y16" s="38"/>
      <c r="Z16" s="38"/>
      <c r="AA16" s="38"/>
      <c r="AB16" s="38"/>
      <c r="AC16" s="38"/>
      <c r="AD16" s="38"/>
      <c r="AE16" s="38"/>
      <c r="AF16" s="38"/>
      <c r="AG16" s="38"/>
      <c r="AH16" s="38"/>
      <c r="AI16" s="38"/>
      <c r="AJ16" s="38"/>
      <c r="AK16" s="38"/>
      <c r="AL16" s="38"/>
      <c r="AM16" s="38"/>
      <c r="AN16" s="38"/>
      <c r="AO16" s="38"/>
    </row>
    <row r="17" spans="1:19" x14ac:dyDescent="0.25">
      <c r="A17" s="27" t="str">
        <f>IF($B$2=$L$5,"1.","2.")</f>
        <v>2.</v>
      </c>
      <c r="B17" s="686" t="str">
        <f>IF(A17="1.","Grunddaten Auftragnehmer","Gunddaten Bieter")</f>
        <v>Gunddaten Bieter</v>
      </c>
      <c r="C17" s="686"/>
      <c r="D17" s="686"/>
      <c r="E17" s="686"/>
      <c r="F17" s="378"/>
      <c r="G17" s="378"/>
      <c r="H17" s="378"/>
      <c r="I17" s="378"/>
      <c r="J17" s="35"/>
      <c r="K17" s="35"/>
      <c r="L17" s="38"/>
      <c r="O17" s="248"/>
    </row>
    <row r="18" spans="1:19" x14ac:dyDescent="0.25">
      <c r="B18" s="378"/>
      <c r="C18" s="378"/>
      <c r="D18" s="378"/>
      <c r="E18" s="378"/>
      <c r="F18" s="378"/>
      <c r="G18" s="378"/>
      <c r="H18" s="378"/>
      <c r="I18" s="378"/>
      <c r="J18" s="35"/>
      <c r="K18" s="35"/>
      <c r="L18" s="35"/>
      <c r="O18" s="248"/>
    </row>
    <row r="19" spans="1:19" x14ac:dyDescent="0.25">
      <c r="B19" s="685" t="s">
        <v>20</v>
      </c>
      <c r="C19" s="685"/>
      <c r="D19" s="683"/>
      <c r="E19" s="683"/>
      <c r="F19" s="683"/>
      <c r="G19" s="683"/>
      <c r="H19" s="683"/>
      <c r="I19" s="683"/>
      <c r="J19" s="38">
        <f>IF(D19="",1,0)</f>
        <v>1</v>
      </c>
      <c r="K19" s="35"/>
      <c r="L19" s="35"/>
      <c r="O19" s="248"/>
    </row>
    <row r="20" spans="1:19" x14ac:dyDescent="0.25">
      <c r="B20" s="379"/>
      <c r="C20" s="379"/>
      <c r="D20" s="687" t="s">
        <v>21</v>
      </c>
      <c r="E20" s="687"/>
      <c r="F20" s="687"/>
      <c r="G20" s="687"/>
      <c r="H20" s="687"/>
      <c r="I20" s="687"/>
      <c r="J20" s="38"/>
      <c r="K20" s="35"/>
      <c r="L20" s="35"/>
      <c r="O20" s="248"/>
    </row>
    <row r="21" spans="1:19" x14ac:dyDescent="0.25">
      <c r="B21" s="682" t="s">
        <v>22</v>
      </c>
      <c r="C21" s="682"/>
      <c r="D21" s="683"/>
      <c r="E21" s="683"/>
      <c r="F21" s="683"/>
      <c r="G21" s="683"/>
      <c r="H21" s="683"/>
      <c r="I21" s="683"/>
      <c r="J21" s="38">
        <f>IF(D21="",1,0)</f>
        <v>1</v>
      </c>
      <c r="K21" s="35"/>
      <c r="L21" s="35"/>
      <c r="O21" s="248"/>
    </row>
    <row r="22" spans="1:19" x14ac:dyDescent="0.25">
      <c r="B22" s="685" t="s">
        <v>23</v>
      </c>
      <c r="C22" s="685"/>
      <c r="D22" s="683"/>
      <c r="E22" s="683"/>
      <c r="F22" s="683"/>
      <c r="G22" s="683"/>
      <c r="H22" s="683"/>
      <c r="I22" s="683"/>
      <c r="J22" s="38">
        <f>IF(D22="",1,0)</f>
        <v>1</v>
      </c>
      <c r="K22" s="35"/>
      <c r="L22" s="35"/>
      <c r="O22" s="248"/>
    </row>
    <row r="23" spans="1:19" x14ac:dyDescent="0.25">
      <c r="B23" s="685" t="s">
        <v>24</v>
      </c>
      <c r="C23" s="685"/>
      <c r="D23" s="683"/>
      <c r="E23" s="683"/>
      <c r="F23" s="683"/>
      <c r="G23" s="683"/>
      <c r="H23" s="683"/>
      <c r="I23" s="683"/>
      <c r="J23" s="38">
        <f>IF(D23="",1,0)</f>
        <v>1</v>
      </c>
      <c r="K23" s="35"/>
      <c r="L23" s="35"/>
      <c r="O23" s="248"/>
    </row>
    <row r="24" spans="1:19" x14ac:dyDescent="0.25">
      <c r="B24" s="682" t="s">
        <v>25</v>
      </c>
      <c r="C24" s="682"/>
      <c r="D24" s="683"/>
      <c r="E24" s="683"/>
      <c r="F24" s="683"/>
      <c r="G24" s="683"/>
      <c r="H24" s="683"/>
      <c r="I24" s="683"/>
      <c r="J24" s="38">
        <f>IF(D24="",1,0)</f>
        <v>1</v>
      </c>
      <c r="K24" s="35"/>
      <c r="L24" s="35"/>
      <c r="O24" s="248"/>
    </row>
    <row r="25" spans="1:19" x14ac:dyDescent="0.25">
      <c r="B25" s="682" t="s">
        <v>26</v>
      </c>
      <c r="C25" s="682"/>
      <c r="D25" s="683"/>
      <c r="E25" s="683"/>
      <c r="F25" s="683"/>
      <c r="G25" s="683"/>
      <c r="H25" s="683"/>
      <c r="I25" s="683"/>
      <c r="J25" s="38">
        <f>IF(D25="",1,0)</f>
        <v>1</v>
      </c>
      <c r="K25" s="35"/>
      <c r="L25" s="35"/>
      <c r="O25" s="248"/>
    </row>
    <row r="26" spans="1:19" x14ac:dyDescent="0.25">
      <c r="B26" s="82"/>
      <c r="J26" s="38">
        <f>SUM(J19:J25)</f>
        <v>6</v>
      </c>
      <c r="K26" s="35"/>
      <c r="L26" s="35"/>
      <c r="O26" s="248"/>
    </row>
    <row r="27" spans="1:19" x14ac:dyDescent="0.25">
      <c r="A27" s="27" t="str">
        <f>IF($B$2=$L$5,"2.","3.")</f>
        <v>3.</v>
      </c>
      <c r="B27" s="371" t="s">
        <v>27</v>
      </c>
      <c r="J27" s="35"/>
      <c r="K27" s="35"/>
      <c r="L27" s="35"/>
      <c r="O27" s="248"/>
    </row>
    <row r="28" spans="1:19" x14ac:dyDescent="0.25">
      <c r="B28" s="82"/>
      <c r="J28" s="35"/>
      <c r="K28" s="35"/>
      <c r="L28" s="35"/>
      <c r="O28" s="248"/>
    </row>
    <row r="29" spans="1:19" x14ac:dyDescent="0.25">
      <c r="B29" s="374" t="s">
        <v>29</v>
      </c>
      <c r="C29" s="375"/>
      <c r="G29" s="718" t="s">
        <v>679</v>
      </c>
      <c r="H29" s="718"/>
      <c r="I29" s="718"/>
      <c r="J29" s="718"/>
      <c r="K29" s="718"/>
      <c r="L29" s="718"/>
      <c r="M29" s="718"/>
      <c r="N29" s="718"/>
      <c r="O29" s="248"/>
      <c r="S29" s="38" t="s">
        <v>29</v>
      </c>
    </row>
    <row r="30" spans="1:19" x14ac:dyDescent="0.25">
      <c r="B30" s="35" t="str">
        <f>IF(B29=S30,S31,S32)</f>
        <v>einen Neubau zu errichten.</v>
      </c>
      <c r="J30" s="35"/>
      <c r="K30" s="35"/>
      <c r="L30" s="38"/>
      <c r="O30" s="248"/>
      <c r="S30" s="38" t="s">
        <v>28</v>
      </c>
    </row>
    <row r="31" spans="1:19" x14ac:dyDescent="0.25">
      <c r="B31" s="82"/>
      <c r="J31" s="35"/>
      <c r="K31" s="35"/>
      <c r="L31" s="38"/>
      <c r="O31" s="248"/>
      <c r="S31" s="38" t="s">
        <v>30</v>
      </c>
    </row>
    <row r="32" spans="1:19" x14ac:dyDescent="0.25">
      <c r="A32" s="27" t="str">
        <f>IF($B$2=$L$5,"3.","4.")</f>
        <v>4.</v>
      </c>
      <c r="B32" s="371" t="s">
        <v>31</v>
      </c>
      <c r="J32" s="35"/>
      <c r="K32" s="35"/>
      <c r="L32" s="38"/>
      <c r="O32" s="248"/>
      <c r="S32" s="38" t="s">
        <v>32</v>
      </c>
    </row>
    <row r="33" spans="1:24" x14ac:dyDescent="0.25">
      <c r="B33" s="371"/>
      <c r="J33" s="35"/>
      <c r="K33" s="35"/>
      <c r="L33" s="38"/>
      <c r="O33" s="248"/>
      <c r="P33" s="38"/>
    </row>
    <row r="34" spans="1:24" x14ac:dyDescent="0.25">
      <c r="B34" s="35" t="s">
        <v>33</v>
      </c>
      <c r="E34" s="618"/>
      <c r="F34" s="727"/>
      <c r="G34" s="727"/>
      <c r="H34" s="727"/>
      <c r="I34" s="727"/>
      <c r="J34" s="727"/>
      <c r="K34" s="35"/>
      <c r="L34" s="38"/>
      <c r="O34" s="248"/>
      <c r="P34" s="38">
        <f>IF(F34="",1,0)</f>
        <v>1</v>
      </c>
    </row>
    <row r="35" spans="1:24" x14ac:dyDescent="0.25">
      <c r="B35" s="372" t="s">
        <v>34</v>
      </c>
      <c r="I35" s="618"/>
      <c r="J35" s="728"/>
      <c r="K35" s="728"/>
      <c r="L35" s="728"/>
      <c r="M35" s="728"/>
      <c r="N35" s="728"/>
      <c r="O35" s="248"/>
      <c r="P35" s="38">
        <f>IF(AND(B35&gt;0,J35=0),1,0)</f>
        <v>1</v>
      </c>
      <c r="S35" s="38" t="s">
        <v>34</v>
      </c>
    </row>
    <row r="36" spans="1:24" x14ac:dyDescent="0.25">
      <c r="B36" s="82"/>
      <c r="J36" s="35"/>
      <c r="K36" s="35"/>
      <c r="L36" s="38"/>
      <c r="O36" s="248"/>
      <c r="P36" s="38">
        <f>SUM(P34:P35)</f>
        <v>2</v>
      </c>
    </row>
    <row r="37" spans="1:24" x14ac:dyDescent="0.25">
      <c r="A37" s="27" t="str">
        <f>IF($B$2=$L$5,"4.","5.")</f>
        <v>5.</v>
      </c>
      <c r="B37" s="371" t="s">
        <v>35</v>
      </c>
      <c r="J37" s="35"/>
      <c r="K37" s="35"/>
      <c r="L37" s="38"/>
      <c r="O37" s="248"/>
    </row>
    <row r="38" spans="1:24" x14ac:dyDescent="0.25">
      <c r="B38" s="371"/>
      <c r="J38" s="35"/>
      <c r="K38" s="35"/>
      <c r="L38" s="38"/>
      <c r="O38" s="248"/>
    </row>
    <row r="39" spans="1:24" x14ac:dyDescent="0.25">
      <c r="B39" s="372" t="s">
        <v>39</v>
      </c>
      <c r="J39" s="617"/>
      <c r="K39" s="737"/>
      <c r="L39" s="737"/>
      <c r="M39" s="737"/>
      <c r="O39" s="248"/>
      <c r="S39" s="38" t="s">
        <v>36</v>
      </c>
    </row>
    <row r="40" spans="1:24" x14ac:dyDescent="0.25">
      <c r="B40" s="38" t="s">
        <v>37</v>
      </c>
      <c r="D40" s="714"/>
      <c r="E40" s="714"/>
      <c r="F40" s="38" t="s">
        <v>38</v>
      </c>
      <c r="J40" s="35"/>
      <c r="K40" s="35"/>
      <c r="L40" s="38"/>
      <c r="O40" s="248"/>
      <c r="S40" s="38" t="s">
        <v>39</v>
      </c>
      <c r="T40" s="651"/>
      <c r="U40" s="650"/>
      <c r="V40" s="650"/>
      <c r="W40" s="650"/>
      <c r="X40" s="650"/>
    </row>
    <row r="41" spans="1:24" x14ac:dyDescent="0.25">
      <c r="B41" s="82"/>
      <c r="J41" s="35"/>
      <c r="K41" s="35"/>
      <c r="L41" s="38"/>
      <c r="O41" s="248"/>
    </row>
    <row r="42" spans="1:24" x14ac:dyDescent="0.25">
      <c r="A42" s="360" t="str">
        <f>IF($B$2=$L$5,"5.","6.")</f>
        <v>6.</v>
      </c>
      <c r="B42" s="9" t="s">
        <v>40</v>
      </c>
    </row>
    <row r="43" spans="1:24" x14ac:dyDescent="0.25">
      <c r="A43" s="360"/>
    </row>
    <row r="44" spans="1:24" x14ac:dyDescent="0.25">
      <c r="B44" s="8" t="s">
        <v>41</v>
      </c>
      <c r="O44" s="348"/>
      <c r="Q44" s="348"/>
      <c r="R44" s="12"/>
    </row>
    <row r="45" spans="1:24" x14ac:dyDescent="0.25">
      <c r="B45" s="8" t="s">
        <v>42</v>
      </c>
      <c r="K45" s="719"/>
      <c r="L45" s="719"/>
      <c r="M45" s="719"/>
      <c r="N45" s="12" t="s">
        <v>43</v>
      </c>
      <c r="O45" s="348"/>
      <c r="P45" s="38">
        <f>IF(K45="",1,0)</f>
        <v>1</v>
      </c>
      <c r="Q45" s="348"/>
      <c r="R45" s="12"/>
    </row>
    <row r="46" spans="1:24" x14ac:dyDescent="0.25">
      <c r="B46" s="8" t="s">
        <v>44</v>
      </c>
      <c r="K46" s="719"/>
      <c r="L46" s="719"/>
      <c r="M46" s="719"/>
      <c r="N46" s="12" t="s">
        <v>43</v>
      </c>
      <c r="O46" s="13"/>
      <c r="P46" s="38">
        <f>IF(K46="",1,0)</f>
        <v>1</v>
      </c>
      <c r="R46" s="13"/>
    </row>
    <row r="47" spans="1:24" x14ac:dyDescent="0.25">
      <c r="B47" s="733" t="s">
        <v>45</v>
      </c>
      <c r="C47" s="733"/>
      <c r="D47" s="733"/>
      <c r="E47" s="733"/>
      <c r="F47" s="733"/>
      <c r="G47" s="733"/>
      <c r="H47" s="733"/>
      <c r="I47" s="733"/>
      <c r="J47" s="733"/>
      <c r="K47" s="111"/>
      <c r="L47" s="10"/>
      <c r="M47" s="345"/>
      <c r="N47" s="13"/>
      <c r="O47" s="348"/>
      <c r="P47" s="38"/>
      <c r="Q47" s="348"/>
      <c r="R47" s="12"/>
    </row>
    <row r="48" spans="1:24" x14ac:dyDescent="0.25">
      <c r="B48" s="733"/>
      <c r="C48" s="733"/>
      <c r="D48" s="733"/>
      <c r="E48" s="733"/>
      <c r="F48" s="733"/>
      <c r="G48" s="733"/>
      <c r="H48" s="733"/>
      <c r="I48" s="733"/>
      <c r="J48" s="733"/>
      <c r="K48" s="719"/>
      <c r="L48" s="719"/>
      <c r="M48" s="719"/>
      <c r="N48" s="12" t="s">
        <v>43</v>
      </c>
      <c r="O48" s="348"/>
      <c r="P48" s="38">
        <f>IF(K48="",1,0)</f>
        <v>1</v>
      </c>
      <c r="Q48" s="348"/>
      <c r="R48" s="12"/>
    </row>
    <row r="49" spans="1:68" x14ac:dyDescent="0.25">
      <c r="K49" s="348"/>
      <c r="L49" s="348"/>
      <c r="M49" s="348"/>
      <c r="N49" s="12"/>
      <c r="O49" s="348"/>
      <c r="P49" s="38">
        <f>SUM(P45:P48)</f>
        <v>3</v>
      </c>
      <c r="Q49" s="348"/>
      <c r="R49" s="12"/>
    </row>
    <row r="50" spans="1:68" x14ac:dyDescent="0.25">
      <c r="J50" s="35"/>
      <c r="K50" s="35"/>
      <c r="L50" s="38"/>
      <c r="P50" s="38"/>
    </row>
    <row r="51" spans="1:68" x14ac:dyDescent="0.25">
      <c r="A51" s="360" t="str">
        <f>IF($B$2=$L$5,"6.","7.")</f>
        <v>7.</v>
      </c>
      <c r="B51" s="9" t="s">
        <v>46</v>
      </c>
      <c r="J51" s="35"/>
      <c r="K51" s="35"/>
      <c r="L51" s="35"/>
    </row>
    <row r="52" spans="1:68" x14ac:dyDescent="0.25">
      <c r="J52" s="35"/>
      <c r="K52" s="35"/>
      <c r="L52" s="35"/>
    </row>
    <row r="53" spans="1:68" x14ac:dyDescent="0.25">
      <c r="B53" s="355"/>
      <c r="G53" s="10" t="s">
        <v>47</v>
      </c>
      <c r="H53" s="373">
        <v>3</v>
      </c>
      <c r="I53" s="8" t="s">
        <v>48</v>
      </c>
      <c r="K53" s="35"/>
      <c r="L53" s="35"/>
      <c r="T53" s="651"/>
      <c r="U53" s="651"/>
      <c r="V53" s="651"/>
      <c r="W53" s="651"/>
      <c r="X53" s="651"/>
    </row>
    <row r="54" spans="1:68" x14ac:dyDescent="0.25">
      <c r="E54" s="10"/>
      <c r="F54" s="25"/>
      <c r="J54" s="35"/>
      <c r="K54" s="35"/>
      <c r="L54" s="35"/>
      <c r="T54" s="671"/>
      <c r="U54" s="651"/>
      <c r="V54" s="651"/>
      <c r="W54" s="651"/>
      <c r="X54" s="651"/>
    </row>
    <row r="55" spans="1:68" x14ac:dyDescent="0.25">
      <c r="A55" s="360" t="str">
        <f>IF($B$2=$L$5,"7.","8.")</f>
        <v>8.</v>
      </c>
      <c r="B55" s="9" t="s">
        <v>49</v>
      </c>
      <c r="E55" s="10"/>
      <c r="F55" s="25"/>
      <c r="J55" s="35"/>
      <c r="K55" s="35"/>
      <c r="L55" s="35"/>
      <c r="T55" s="671"/>
      <c r="U55" s="651"/>
      <c r="V55" s="651"/>
      <c r="W55" s="651"/>
      <c r="X55" s="651"/>
    </row>
    <row r="56" spans="1:68" x14ac:dyDescent="0.25">
      <c r="E56" s="10"/>
      <c r="F56" s="25"/>
      <c r="J56" s="35"/>
      <c r="K56" s="35"/>
      <c r="L56" s="35"/>
      <c r="T56" s="671"/>
      <c r="U56" s="651"/>
      <c r="V56" s="651"/>
      <c r="W56" s="651"/>
      <c r="X56" s="651"/>
    </row>
    <row r="57" spans="1:68" x14ac:dyDescent="0.25">
      <c r="B57" s="733" t="s">
        <v>50</v>
      </c>
      <c r="C57" s="733"/>
      <c r="D57" s="733"/>
      <c r="E57" s="733"/>
      <c r="F57" s="733"/>
      <c r="G57" s="733"/>
      <c r="H57" s="733"/>
      <c r="I57" s="733"/>
      <c r="J57" s="733"/>
      <c r="K57" s="733"/>
      <c r="L57" s="733"/>
      <c r="M57" s="733"/>
      <c r="N57" s="733"/>
      <c r="O57" s="733"/>
      <c r="P57" s="733"/>
      <c r="Q57" s="733"/>
      <c r="T57" s="638"/>
      <c r="U57" s="83"/>
      <c r="V57" s="83"/>
      <c r="W57" s="83"/>
      <c r="X57" s="83"/>
    </row>
    <row r="58" spans="1:68" x14ac:dyDescent="0.25">
      <c r="B58" s="733"/>
      <c r="C58" s="733"/>
      <c r="D58" s="733"/>
      <c r="E58" s="733"/>
      <c r="F58" s="733"/>
      <c r="G58" s="733"/>
      <c r="H58" s="733"/>
      <c r="I58" s="733"/>
      <c r="J58" s="733"/>
      <c r="K58" s="733"/>
      <c r="L58" s="733"/>
      <c r="M58" s="733"/>
      <c r="N58" s="733"/>
      <c r="O58" s="733"/>
      <c r="P58" s="733"/>
      <c r="Q58" s="733"/>
      <c r="T58" s="638"/>
      <c r="U58" s="83"/>
      <c r="V58" s="83"/>
      <c r="W58" s="83"/>
      <c r="X58" s="83"/>
    </row>
    <row r="59" spans="1:68" x14ac:dyDescent="0.25">
      <c r="B59" s="733"/>
      <c r="C59" s="733"/>
      <c r="D59" s="733"/>
      <c r="E59" s="733"/>
      <c r="F59" s="733"/>
      <c r="G59" s="733"/>
      <c r="H59" s="733"/>
      <c r="I59" s="733"/>
      <c r="J59" s="733"/>
      <c r="K59" s="733"/>
      <c r="L59" s="733"/>
      <c r="M59" s="733"/>
      <c r="N59" s="733"/>
      <c r="O59" s="733"/>
      <c r="P59" s="733"/>
      <c r="Q59" s="733"/>
      <c r="T59" s="638"/>
      <c r="U59" s="83"/>
      <c r="V59" s="83"/>
      <c r="W59" s="83"/>
      <c r="X59" s="83"/>
    </row>
    <row r="60" spans="1:68" x14ac:dyDescent="0.25">
      <c r="B60" s="733"/>
      <c r="C60" s="733"/>
      <c r="D60" s="733"/>
      <c r="E60" s="733"/>
      <c r="F60" s="733"/>
      <c r="G60" s="733"/>
      <c r="H60" s="733"/>
      <c r="I60" s="733"/>
      <c r="J60" s="733"/>
      <c r="K60" s="733"/>
      <c r="L60" s="733"/>
      <c r="M60" s="733"/>
      <c r="N60" s="733"/>
      <c r="O60" s="733"/>
      <c r="P60" s="733"/>
      <c r="Q60" s="733"/>
      <c r="T60" s="638"/>
      <c r="U60" s="83"/>
      <c r="V60" s="83"/>
      <c r="W60" s="83"/>
      <c r="X60" s="83"/>
    </row>
    <row r="61" spans="1:68" s="83" customFormat="1" x14ac:dyDescent="0.25">
      <c r="A61" s="361"/>
      <c r="B61" s="733"/>
      <c r="C61" s="733"/>
      <c r="D61" s="733"/>
      <c r="E61" s="733"/>
      <c r="F61" s="733"/>
      <c r="G61" s="733"/>
      <c r="H61" s="733"/>
      <c r="I61" s="733"/>
      <c r="J61" s="733"/>
      <c r="K61" s="733"/>
      <c r="L61" s="733"/>
      <c r="M61" s="733"/>
      <c r="N61" s="733"/>
      <c r="O61" s="733"/>
      <c r="P61" s="733"/>
      <c r="Q61" s="733"/>
      <c r="R61" s="35"/>
      <c r="S61" s="38"/>
      <c r="T61" s="638"/>
      <c r="Y61" s="38"/>
      <c r="Z61" s="38"/>
      <c r="AA61" s="38"/>
      <c r="AB61" s="38"/>
      <c r="AC61" s="38"/>
      <c r="AD61" s="38"/>
      <c r="AE61" s="38"/>
      <c r="AF61" s="38"/>
      <c r="AG61" s="38"/>
      <c r="AH61" s="38"/>
      <c r="AI61" s="38"/>
      <c r="AJ61" s="38"/>
      <c r="AK61" s="38"/>
      <c r="AL61" s="38"/>
      <c r="AM61" s="38"/>
      <c r="AN61" s="38"/>
      <c r="AO61" s="38"/>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row>
    <row r="62" spans="1:68" x14ac:dyDescent="0.25">
      <c r="E62" s="10"/>
      <c r="F62" s="25"/>
      <c r="J62" s="35"/>
      <c r="K62" s="35"/>
      <c r="L62" s="35"/>
      <c r="T62" s="83"/>
      <c r="U62" s="83"/>
      <c r="V62" s="83"/>
      <c r="W62" s="83"/>
      <c r="X62" s="83"/>
    </row>
    <row r="63" spans="1:68" ht="15" customHeight="1" x14ac:dyDescent="0.25">
      <c r="B63" s="734" t="s">
        <v>51</v>
      </c>
      <c r="C63" s="734"/>
      <c r="D63" s="734"/>
      <c r="E63" s="734"/>
      <c r="F63" s="734"/>
      <c r="G63" s="734"/>
      <c r="H63" s="734"/>
      <c r="I63" s="734"/>
      <c r="J63" s="734"/>
      <c r="K63" s="734"/>
      <c r="L63" s="734"/>
      <c r="M63" s="734"/>
      <c r="N63" s="734"/>
      <c r="O63" s="734"/>
      <c r="P63" s="734"/>
      <c r="Q63" s="734"/>
    </row>
    <row r="64" spans="1:68" x14ac:dyDescent="0.25">
      <c r="B64" s="734"/>
      <c r="C64" s="734"/>
      <c r="D64" s="734"/>
      <c r="E64" s="734"/>
      <c r="F64" s="734"/>
      <c r="G64" s="734"/>
      <c r="H64" s="734"/>
      <c r="I64" s="734"/>
      <c r="J64" s="734"/>
      <c r="K64" s="734"/>
      <c r="L64" s="734"/>
      <c r="M64" s="734"/>
      <c r="N64" s="734"/>
      <c r="O64" s="734"/>
      <c r="P64" s="734"/>
      <c r="Q64" s="734"/>
    </row>
    <row r="65" spans="2:24" x14ac:dyDescent="0.25">
      <c r="B65" s="734"/>
      <c r="C65" s="734"/>
      <c r="D65" s="734"/>
      <c r="E65" s="734"/>
      <c r="F65" s="734"/>
      <c r="G65" s="734"/>
      <c r="H65" s="734"/>
      <c r="I65" s="734"/>
      <c r="J65" s="734"/>
      <c r="K65" s="734"/>
      <c r="L65" s="734"/>
      <c r="M65" s="734"/>
      <c r="N65" s="734"/>
      <c r="O65" s="734"/>
      <c r="P65" s="734"/>
      <c r="Q65" s="734"/>
      <c r="S65" s="38" t="str">
        <f>IF(T124&gt;0,IF(SUM(T65)&gt;0,", ",". "),"")</f>
        <v/>
      </c>
    </row>
    <row r="66" spans="2:24" x14ac:dyDescent="0.25">
      <c r="B66" s="734"/>
      <c r="C66" s="734"/>
      <c r="D66" s="734"/>
      <c r="E66" s="734"/>
      <c r="F66" s="734"/>
      <c r="G66" s="734"/>
      <c r="H66" s="734"/>
      <c r="I66" s="734"/>
      <c r="J66" s="734"/>
      <c r="K66" s="734"/>
      <c r="L66" s="734"/>
      <c r="M66" s="734"/>
      <c r="N66" s="734"/>
      <c r="O66" s="734"/>
      <c r="P66" s="734"/>
      <c r="Q66" s="734"/>
    </row>
    <row r="67" spans="2:24" x14ac:dyDescent="0.25">
      <c r="B67" s="734"/>
      <c r="C67" s="734"/>
      <c r="D67" s="734"/>
      <c r="E67" s="734"/>
      <c r="F67" s="734"/>
      <c r="G67" s="734"/>
      <c r="H67" s="734"/>
      <c r="I67" s="734"/>
      <c r="J67" s="734"/>
      <c r="K67" s="734"/>
      <c r="L67" s="734"/>
      <c r="M67" s="734"/>
      <c r="N67" s="734"/>
      <c r="O67" s="734"/>
      <c r="P67" s="734"/>
      <c r="Q67" s="734"/>
    </row>
    <row r="68" spans="2:24" x14ac:dyDescent="0.25">
      <c r="B68" s="734"/>
      <c r="C68" s="734"/>
      <c r="D68" s="734"/>
      <c r="E68" s="734"/>
      <c r="F68" s="734"/>
      <c r="G68" s="734"/>
      <c r="H68" s="734"/>
      <c r="I68" s="734"/>
      <c r="J68" s="734"/>
      <c r="K68" s="734"/>
      <c r="L68" s="734"/>
      <c r="M68" s="734"/>
      <c r="N68" s="734"/>
      <c r="O68" s="734"/>
      <c r="P68" s="734"/>
      <c r="Q68" s="734"/>
    </row>
    <row r="69" spans="2:24" x14ac:dyDescent="0.25">
      <c r="B69" s="734"/>
      <c r="C69" s="734"/>
      <c r="D69" s="734"/>
      <c r="E69" s="734"/>
      <c r="F69" s="734"/>
      <c r="G69" s="734"/>
      <c r="H69" s="734"/>
      <c r="I69" s="734"/>
      <c r="J69" s="734"/>
      <c r="K69" s="734"/>
      <c r="L69" s="734"/>
      <c r="M69" s="734"/>
      <c r="N69" s="734"/>
      <c r="O69" s="734"/>
      <c r="P69" s="734"/>
      <c r="Q69" s="734"/>
    </row>
    <row r="70" spans="2:24" x14ac:dyDescent="0.25">
      <c r="E70" s="10"/>
      <c r="F70" s="25"/>
      <c r="J70" s="35"/>
      <c r="K70" s="35"/>
      <c r="L70" s="35"/>
    </row>
    <row r="71" spans="2:24" x14ac:dyDescent="0.25">
      <c r="B71" s="8" t="s">
        <v>52</v>
      </c>
      <c r="E71" s="10"/>
      <c r="F71" s="25"/>
      <c r="J71" s="35"/>
      <c r="K71" s="35"/>
      <c r="L71" s="35"/>
    </row>
    <row r="72" spans="2:24" x14ac:dyDescent="0.25">
      <c r="E72" s="10"/>
      <c r="F72" s="25"/>
      <c r="J72" s="35"/>
      <c r="K72" s="35"/>
      <c r="L72" s="35"/>
    </row>
    <row r="73" spans="2:24" x14ac:dyDescent="0.25">
      <c r="B73" s="735" t="s">
        <v>53</v>
      </c>
      <c r="C73" s="735"/>
      <c r="D73" s="735"/>
      <c r="E73" s="735"/>
      <c r="F73" s="735"/>
      <c r="G73" s="735"/>
      <c r="H73" s="735"/>
      <c r="I73" s="735"/>
      <c r="J73" s="735"/>
      <c r="K73" s="735"/>
      <c r="L73" s="735"/>
      <c r="M73" s="735"/>
      <c r="N73" s="735"/>
      <c r="O73" s="735"/>
      <c r="P73" s="735"/>
      <c r="Q73" s="735"/>
      <c r="T73" s="651"/>
      <c r="U73" s="651"/>
      <c r="V73" s="651"/>
      <c r="W73" s="651"/>
      <c r="X73" s="651"/>
    </row>
    <row r="74" spans="2:24" x14ac:dyDescent="0.25">
      <c r="B74" s="735"/>
      <c r="C74" s="735"/>
      <c r="D74" s="735"/>
      <c r="E74" s="735"/>
      <c r="F74" s="735"/>
      <c r="G74" s="735"/>
      <c r="H74" s="735"/>
      <c r="I74" s="735"/>
      <c r="J74" s="735"/>
      <c r="K74" s="735"/>
      <c r="L74" s="735"/>
      <c r="M74" s="735"/>
      <c r="N74" s="735"/>
      <c r="O74" s="735"/>
      <c r="P74" s="735"/>
      <c r="Q74" s="735"/>
    </row>
    <row r="75" spans="2:24" x14ac:dyDescent="0.25">
      <c r="B75" s="735"/>
      <c r="C75" s="735"/>
      <c r="D75" s="735"/>
      <c r="E75" s="735"/>
      <c r="F75" s="735"/>
      <c r="G75" s="735"/>
      <c r="H75" s="735"/>
      <c r="I75" s="735"/>
      <c r="J75" s="735"/>
      <c r="K75" s="735"/>
      <c r="L75" s="735"/>
      <c r="M75" s="735"/>
      <c r="N75" s="735"/>
      <c r="O75" s="735"/>
      <c r="P75" s="735"/>
      <c r="Q75" s="735"/>
    </row>
    <row r="76" spans="2:24" x14ac:dyDescent="0.25">
      <c r="B76" s="735"/>
      <c r="C76" s="735"/>
      <c r="D76" s="735"/>
      <c r="E76" s="735"/>
      <c r="F76" s="735"/>
      <c r="G76" s="735"/>
      <c r="H76" s="735"/>
      <c r="I76" s="735"/>
      <c r="J76" s="735"/>
      <c r="K76" s="735"/>
      <c r="L76" s="735"/>
      <c r="M76" s="735"/>
      <c r="N76" s="735"/>
      <c r="O76" s="735"/>
      <c r="P76" s="735"/>
      <c r="Q76" s="735"/>
    </row>
    <row r="77" spans="2:24" x14ac:dyDescent="0.25">
      <c r="B77" s="735"/>
      <c r="C77" s="735"/>
      <c r="D77" s="735"/>
      <c r="E77" s="735"/>
      <c r="F77" s="735"/>
      <c r="G77" s="735"/>
      <c r="H77" s="735"/>
      <c r="I77" s="735"/>
      <c r="J77" s="735"/>
      <c r="K77" s="735"/>
      <c r="L77" s="735"/>
      <c r="M77" s="735"/>
      <c r="N77" s="735"/>
      <c r="O77" s="735"/>
      <c r="P77" s="735"/>
      <c r="Q77" s="735"/>
    </row>
    <row r="78" spans="2:24" ht="15" customHeight="1" x14ac:dyDescent="0.25">
      <c r="B78" s="648" t="s">
        <v>54</v>
      </c>
      <c r="C78" s="648"/>
      <c r="D78" s="648"/>
      <c r="E78" s="649" t="str">
        <f>IF(B2=L4,B79,M79)</f>
        <v xml:space="preserve">kann mit Hilfe des Auf-/Abschlages berücksichtigt werden - siehe Ziff. 2 des jeweiligen Tabellenblattes. </v>
      </c>
      <c r="F78" s="649"/>
      <c r="G78" s="648"/>
      <c r="H78" s="649"/>
      <c r="I78" s="649"/>
      <c r="J78" s="648"/>
      <c r="K78" s="649"/>
      <c r="L78" s="648"/>
      <c r="M78" s="648"/>
      <c r="N78" s="648"/>
      <c r="O78" s="648"/>
      <c r="P78" s="648"/>
      <c r="Q78" s="648"/>
    </row>
    <row r="79" spans="2:24" ht="0.95" customHeight="1" x14ac:dyDescent="0.25">
      <c r="B79" s="650" t="s">
        <v>55</v>
      </c>
      <c r="C79" s="649"/>
      <c r="D79" s="649"/>
      <c r="E79" s="649"/>
      <c r="F79" s="649"/>
      <c r="G79" s="649"/>
      <c r="H79" s="649"/>
      <c r="I79" s="649"/>
      <c r="J79" s="648"/>
      <c r="K79" s="649"/>
      <c r="L79" s="648"/>
      <c r="M79" s="648" t="s">
        <v>56</v>
      </c>
      <c r="N79" s="648"/>
      <c r="O79" s="648"/>
      <c r="P79" s="648"/>
      <c r="Q79" s="648"/>
    </row>
    <row r="80" spans="2:24" ht="15" customHeight="1" x14ac:dyDescent="0.25">
      <c r="B80" s="726" t="s">
        <v>57</v>
      </c>
      <c r="C80" s="726"/>
      <c r="D80" s="726"/>
      <c r="E80" s="726"/>
      <c r="F80" s="726"/>
      <c r="G80" s="726"/>
      <c r="H80" s="726"/>
      <c r="I80" s="726"/>
      <c r="J80" s="726"/>
      <c r="K80" s="726"/>
      <c r="L80" s="726"/>
      <c r="M80" s="726"/>
      <c r="N80" s="726"/>
      <c r="O80" s="726"/>
      <c r="P80" s="726"/>
      <c r="Q80" s="726"/>
    </row>
    <row r="81" spans="1:27" ht="15" customHeight="1" x14ac:dyDescent="0.25">
      <c r="B81" s="726"/>
      <c r="C81" s="726"/>
      <c r="D81" s="726"/>
      <c r="E81" s="726"/>
      <c r="F81" s="726"/>
      <c r="G81" s="726"/>
      <c r="H81" s="726"/>
      <c r="I81" s="726"/>
      <c r="J81" s="726"/>
      <c r="K81" s="726"/>
      <c r="L81" s="726"/>
      <c r="M81" s="726"/>
      <c r="N81" s="726"/>
      <c r="O81" s="726"/>
      <c r="P81" s="726"/>
      <c r="Q81" s="726"/>
    </row>
    <row r="82" spans="1:27" ht="20.05" customHeight="1" x14ac:dyDescent="0.25">
      <c r="B82" s="736" t="s">
        <v>58</v>
      </c>
      <c r="C82" s="736"/>
      <c r="D82" s="736"/>
      <c r="E82" s="736"/>
      <c r="F82" s="736"/>
      <c r="G82" s="736"/>
      <c r="H82" s="736"/>
      <c r="I82" s="736"/>
      <c r="J82" s="736"/>
      <c r="K82" s="736"/>
      <c r="L82" s="736"/>
      <c r="M82" s="736"/>
      <c r="N82" s="736"/>
      <c r="O82" s="736"/>
      <c r="P82" s="736"/>
      <c r="Q82" s="736"/>
    </row>
    <row r="83" spans="1:27" x14ac:dyDescent="0.25">
      <c r="B83" s="38"/>
      <c r="J83" s="35"/>
      <c r="L83" s="35"/>
    </row>
    <row r="84" spans="1:27" x14ac:dyDescent="0.25">
      <c r="A84" s="360" t="str">
        <f>IF($B$2=$L$5,"8.","9.")</f>
        <v>9.</v>
      </c>
      <c r="B84" s="9" t="str">
        <f>IF(B2=L5,"Honorarvereinbarung im Falle des vollständigen Leistungsabrufes","Honorarangebot im Falle des vollständigen Leistungsabrufes")</f>
        <v>Honorarangebot im Falle des vollständigen Leistungsabrufes</v>
      </c>
      <c r="F84" s="25"/>
      <c r="J84" s="35"/>
      <c r="K84" s="35"/>
      <c r="L84" s="35"/>
      <c r="S84" s="38" t="str">
        <f>IF(J26&gt;0,"Grunddaten Bieter (siehe Zeilen 19ff. auf diesem Tabellenblatt)","")</f>
        <v>Grunddaten Bieter (siehe Zeilen 19ff. auf diesem Tabellenblatt)</v>
      </c>
      <c r="T84" s="38">
        <f>IF(S84="",0,1)</f>
        <v>1</v>
      </c>
    </row>
    <row r="85" spans="1:27" ht="14.55" thickBot="1" x14ac:dyDescent="0.3">
      <c r="A85" s="362"/>
      <c r="B85" s="102"/>
      <c r="C85" s="102"/>
      <c r="D85" s="102"/>
      <c r="E85" s="102"/>
      <c r="F85" s="102"/>
      <c r="G85" s="102"/>
      <c r="H85" s="102"/>
      <c r="I85" s="102"/>
      <c r="J85" s="80"/>
      <c r="K85" s="80"/>
      <c r="L85" s="80"/>
      <c r="M85" s="80"/>
      <c r="N85" s="80"/>
      <c r="O85" s="80"/>
      <c r="P85" s="80"/>
      <c r="S85" s="38" t="e">
        <f>IF(S84="Grunddaten Bieter (siehe Zeilen 19ff. auf diesem Tabellenblatt)",IF(SUM(T86:T118)&gt;0,", ",". "),"")</f>
        <v>#REF!</v>
      </c>
    </row>
    <row r="86" spans="1:27" x14ac:dyDescent="0.25">
      <c r="A86" s="362"/>
      <c r="B86" s="703" t="s">
        <v>59</v>
      </c>
      <c r="C86" s="704"/>
      <c r="D86" s="704"/>
      <c r="E86" s="704"/>
      <c r="F86" s="705"/>
      <c r="G86" s="61"/>
      <c r="H86" s="706">
        <v>0</v>
      </c>
      <c r="I86" s="706"/>
      <c r="J86" s="707"/>
      <c r="K86" s="102"/>
      <c r="L86" s="102"/>
      <c r="M86" s="80"/>
      <c r="N86" s="80"/>
      <c r="O86" s="80"/>
      <c r="P86" s="80"/>
    </row>
    <row r="87" spans="1:27" x14ac:dyDescent="0.25">
      <c r="A87" s="362"/>
      <c r="B87" s="697" t="s">
        <v>60</v>
      </c>
      <c r="C87" s="698"/>
      <c r="D87" s="698"/>
      <c r="E87" s="698"/>
      <c r="F87" s="699"/>
      <c r="G87" s="63"/>
      <c r="H87" s="672"/>
      <c r="I87" s="672"/>
      <c r="J87" s="673"/>
      <c r="K87" s="102"/>
      <c r="L87" s="102"/>
      <c r="M87" s="80"/>
      <c r="N87" s="80"/>
      <c r="O87" s="80"/>
      <c r="P87" s="80"/>
      <c r="S87" s="38" t="str">
        <f>IF(P36&gt;0,"Projektbeteiligte (siehe Zeilen 22ff. auf diesem Tabellenblatt)","")</f>
        <v>Projektbeteiligte (siehe Zeilen 22ff. auf diesem Tabellenblatt)</v>
      </c>
      <c r="T87" s="38">
        <f>IF(S87="",0,1)</f>
        <v>1</v>
      </c>
    </row>
    <row r="88" spans="1:27" ht="14.55" thickBot="1" x14ac:dyDescent="0.3">
      <c r="A88" s="362"/>
      <c r="B88" s="700"/>
      <c r="C88" s="701"/>
      <c r="D88" s="701"/>
      <c r="E88" s="701"/>
      <c r="F88" s="702"/>
      <c r="G88" s="64"/>
      <c r="H88" s="708">
        <v>0</v>
      </c>
      <c r="I88" s="708"/>
      <c r="J88" s="709"/>
      <c r="K88" s="102"/>
      <c r="L88" s="102"/>
      <c r="M88" s="80"/>
      <c r="N88" s="80"/>
      <c r="O88" s="80"/>
      <c r="P88" s="80"/>
      <c r="S88" s="38" t="e">
        <f>IF(S87="Projektbeteiligte (siehe Zeilen 22ff. auf diesem Tabellenblatt)",IF(SUM(T89:T121)&gt;0,", ",". "),"")</f>
        <v>#REF!</v>
      </c>
      <c r="AA88" s="38">
        <v>1</v>
      </c>
    </row>
    <row r="89" spans="1:27" x14ac:dyDescent="0.25">
      <c r="A89" s="362"/>
      <c r="B89" s="65"/>
      <c r="C89" s="66"/>
      <c r="D89" s="66"/>
      <c r="E89" s="66"/>
      <c r="F89" s="125"/>
      <c r="G89" s="14"/>
      <c r="H89" s="92"/>
      <c r="I89" s="92"/>
      <c r="J89" s="674"/>
      <c r="K89" s="102"/>
      <c r="L89" s="102"/>
      <c r="M89" s="80"/>
      <c r="N89" s="80"/>
      <c r="O89" s="80"/>
      <c r="P89" s="80"/>
      <c r="AA89" s="38">
        <v>2</v>
      </c>
    </row>
    <row r="90" spans="1:27" x14ac:dyDescent="0.25">
      <c r="A90" s="362"/>
      <c r="B90" s="692" t="s">
        <v>61</v>
      </c>
      <c r="C90" s="693"/>
      <c r="D90" s="693"/>
      <c r="E90" s="693"/>
      <c r="F90" s="694"/>
      <c r="G90" s="63"/>
      <c r="H90" s="695">
        <v>0</v>
      </c>
      <c r="I90" s="695"/>
      <c r="J90" s="696"/>
      <c r="K90" s="102"/>
      <c r="L90" s="102"/>
      <c r="M90" s="80"/>
      <c r="N90" s="80"/>
      <c r="O90" s="80"/>
      <c r="P90" s="80"/>
      <c r="S90" s="38" t="str">
        <f>IF(P49&gt;0,"Stundensätze (siehe Zeilen 28 bis 32 auf diesem Tabellenblatt)","")</f>
        <v>Stundensätze (siehe Zeilen 28 bis 32 auf diesem Tabellenblatt)</v>
      </c>
      <c r="T90" s="38">
        <f>IF(S90="",0,1)</f>
        <v>1</v>
      </c>
      <c r="AA90" s="38">
        <v>3</v>
      </c>
    </row>
    <row r="91" spans="1:27" ht="14.55" thickBot="1" x14ac:dyDescent="0.3">
      <c r="A91" s="362"/>
      <c r="B91" s="201"/>
      <c r="C91" s="202"/>
      <c r="D91" s="202"/>
      <c r="E91" s="202"/>
      <c r="F91" s="203"/>
      <c r="G91" s="68"/>
      <c r="H91" s="675"/>
      <c r="I91" s="675"/>
      <c r="J91" s="676"/>
      <c r="K91" s="102"/>
      <c r="L91" s="102"/>
      <c r="M91" s="80"/>
      <c r="N91" s="80"/>
      <c r="O91" s="80"/>
      <c r="P91" s="80"/>
      <c r="S91" s="38" t="e">
        <f>IF(T90&gt;0,IF(SUM(T92:T124)&gt;0,", ",". "),"")</f>
        <v>#REF!</v>
      </c>
      <c r="AA91" s="38">
        <v>4</v>
      </c>
    </row>
    <row r="92" spans="1:27" outlineLevel="1" x14ac:dyDescent="0.25">
      <c r="A92" s="362"/>
      <c r="B92" s="222"/>
      <c r="C92" s="10"/>
      <c r="D92" s="10"/>
      <c r="E92" s="10"/>
      <c r="F92" s="223"/>
      <c r="G92" s="63"/>
      <c r="H92" s="672"/>
      <c r="I92" s="672"/>
      <c r="J92" s="673"/>
      <c r="K92" s="102"/>
      <c r="L92" s="102"/>
      <c r="M92" s="80"/>
      <c r="N92" s="80"/>
      <c r="O92" s="80"/>
      <c r="P92" s="80"/>
      <c r="S92" s="38" t="str">
        <f>IF(Hochbauplanung!V273&gt;0,"Gebäude od. Innenräume","")</f>
        <v>Gebäude od. Innenräume</v>
      </c>
      <c r="T92" s="38">
        <f>IF(S92="",0,1)</f>
        <v>1</v>
      </c>
      <c r="AA92" s="38">
        <v>5</v>
      </c>
    </row>
    <row r="93" spans="1:27" outlineLevel="1" x14ac:dyDescent="0.25">
      <c r="A93" s="362"/>
      <c r="B93" s="692" t="s">
        <v>62</v>
      </c>
      <c r="C93" s="693"/>
      <c r="D93" s="693"/>
      <c r="E93" s="693"/>
      <c r="F93" s="694"/>
      <c r="G93" s="51"/>
      <c r="H93" s="695">
        <f>'Auftragsänderungen &amp; -ergänzung'!H82</f>
        <v>0</v>
      </c>
      <c r="I93" s="695"/>
      <c r="J93" s="696"/>
      <c r="K93" s="102"/>
      <c r="L93" s="102"/>
      <c r="M93" s="80"/>
      <c r="N93" s="80"/>
      <c r="O93" s="80"/>
      <c r="P93" s="80"/>
      <c r="S93" s="38" t="e">
        <f>IF(S92="Gebäude od. Innenräume",IF(SUM(T94:T124)&gt;0,", ",". "),"")</f>
        <v>#REF!</v>
      </c>
      <c r="AA93" s="38">
        <v>6</v>
      </c>
    </row>
    <row r="94" spans="1:27" ht="14.55" outlineLevel="1" thickBot="1" x14ac:dyDescent="0.3">
      <c r="A94" s="362"/>
      <c r="B94" s="217"/>
      <c r="C94" s="218"/>
      <c r="D94" s="218"/>
      <c r="E94" s="218"/>
      <c r="F94" s="219"/>
      <c r="G94" s="212"/>
      <c r="H94" s="677"/>
      <c r="I94" s="677"/>
      <c r="J94" s="678"/>
      <c r="K94" s="102"/>
      <c r="L94" s="102"/>
      <c r="M94" s="80"/>
      <c r="N94" s="80"/>
      <c r="O94" s="80"/>
      <c r="P94" s="80"/>
      <c r="S94" s="38" t="e">
        <f>IF(#REF!&gt;0,"Abwasser-, Wasser- und Gasanlagen","")</f>
        <v>#REF!</v>
      </c>
      <c r="T94" s="38" t="e">
        <f>IF(S94="",0,1)</f>
        <v>#REF!</v>
      </c>
      <c r="AA94" s="38">
        <v>7</v>
      </c>
    </row>
    <row r="95" spans="1:27" ht="15.95" customHeight="1" thickBot="1" x14ac:dyDescent="0.3">
      <c r="A95" s="362"/>
      <c r="B95" s="744" t="s">
        <v>63</v>
      </c>
      <c r="C95" s="745"/>
      <c r="D95" s="745"/>
      <c r="E95" s="745"/>
      <c r="F95" s="746"/>
      <c r="G95" s="69"/>
      <c r="H95" s="724">
        <f>H90+H88+H86</f>
        <v>0</v>
      </c>
      <c r="I95" s="724"/>
      <c r="J95" s="725"/>
      <c r="K95" s="102"/>
      <c r="L95" s="102"/>
      <c r="M95" s="80"/>
      <c r="N95" s="80"/>
      <c r="O95" s="80"/>
      <c r="P95" s="80"/>
      <c r="S95" s="38" t="e">
        <f>IF(T94&gt;0,IF(SUM(T96:T124)&gt;0,", ",". "),"")</f>
        <v>#REF!</v>
      </c>
      <c r="AA95" s="38">
        <v>8</v>
      </c>
    </row>
    <row r="96" spans="1:27" x14ac:dyDescent="0.25">
      <c r="A96" s="362"/>
      <c r="B96" s="238"/>
      <c r="C96" s="239"/>
      <c r="D96" s="239"/>
      <c r="E96" s="239"/>
      <c r="F96" s="240"/>
      <c r="G96" s="14"/>
      <c r="H96" s="679"/>
      <c r="I96" s="679"/>
      <c r="J96" s="680"/>
      <c r="K96" s="102"/>
      <c r="L96" s="102"/>
      <c r="M96" s="80"/>
      <c r="N96" s="80"/>
      <c r="O96" s="80"/>
      <c r="P96" s="80"/>
      <c r="S96" s="38" t="e">
        <f>IF(#REF!&gt;0,"Wärmeversorgung","")</f>
        <v>#REF!</v>
      </c>
      <c r="T96" s="38" t="e">
        <f>IF(S96="",0,1)</f>
        <v>#REF!</v>
      </c>
      <c r="AA96" s="38">
        <v>9</v>
      </c>
    </row>
    <row r="97" spans="1:26" x14ac:dyDescent="0.25">
      <c r="B97" s="715" t="s">
        <v>64</v>
      </c>
      <c r="C97" s="716"/>
      <c r="D97" s="716"/>
      <c r="E97" s="716"/>
      <c r="F97" s="717"/>
      <c r="G97" s="101">
        <v>0.19</v>
      </c>
      <c r="H97" s="695">
        <f>H95*G97</f>
        <v>0</v>
      </c>
      <c r="I97" s="695"/>
      <c r="J97" s="696"/>
      <c r="S97" s="38" t="e">
        <f>IF(T96&gt;0,IF(SUM(T98:T124)&gt;0,", ",". "),"")</f>
        <v>#REF!</v>
      </c>
    </row>
    <row r="98" spans="1:26" ht="14.55" thickBot="1" x14ac:dyDescent="0.3">
      <c r="B98" s="226"/>
      <c r="C98" s="227"/>
      <c r="D98" s="227"/>
      <c r="E98" s="227"/>
      <c r="F98" s="228"/>
      <c r="G98" s="64"/>
      <c r="H98" s="675"/>
      <c r="I98" s="675"/>
      <c r="J98" s="676"/>
      <c r="S98" s="38" t="e">
        <f>IF(#REF!&gt;0,"Lufttechnische Anlagen","")</f>
        <v>#REF!</v>
      </c>
      <c r="T98" s="38" t="e">
        <f>IF(S98="",0,1)</f>
        <v>#REF!</v>
      </c>
      <c r="Y98" s="38">
        <v>0</v>
      </c>
    </row>
    <row r="99" spans="1:26" x14ac:dyDescent="0.25">
      <c r="B99" s="738" t="s">
        <v>65</v>
      </c>
      <c r="C99" s="739"/>
      <c r="D99" s="739"/>
      <c r="E99" s="739"/>
      <c r="F99" s="740"/>
      <c r="G99" s="59"/>
      <c r="H99" s="720">
        <f>H95+H97</f>
        <v>0</v>
      </c>
      <c r="I99" s="720"/>
      <c r="J99" s="721"/>
      <c r="S99" s="38" t="e">
        <f>IF(T98&gt;0,IF(SUM(T103:T124)&gt;0,", ",". "),"")</f>
        <v>#REF!</v>
      </c>
      <c r="U99" s="38" t="s">
        <v>66</v>
      </c>
      <c r="V99" s="38">
        <f>Hochbauplanung!S9</f>
        <v>1</v>
      </c>
      <c r="W99" s="38">
        <f>IF(V99&gt;0,1,V99)</f>
        <v>1</v>
      </c>
      <c r="X99" s="38" t="str">
        <f t="shared" ref="X99:X111" si="0">IF(V99&gt;0,VLOOKUP(W99,$Y$98:$Z$123,2),"")</f>
        <v>B.</v>
      </c>
      <c r="Y99" s="38">
        <v>1</v>
      </c>
      <c r="Z99" s="38" t="s">
        <v>67</v>
      </c>
    </row>
    <row r="100" spans="1:26" ht="14.55" thickBot="1" x14ac:dyDescent="0.3">
      <c r="B100" s="741"/>
      <c r="C100" s="742"/>
      <c r="D100" s="742"/>
      <c r="E100" s="742"/>
      <c r="F100" s="743"/>
      <c r="G100" s="60"/>
      <c r="H100" s="722"/>
      <c r="I100" s="722"/>
      <c r="J100" s="723"/>
      <c r="S100" s="38" t="e">
        <f>IF(#REF!&gt;0,"Starkstromanlagen","")</f>
        <v>#REF!</v>
      </c>
      <c r="T100" s="38" t="e">
        <f>IF(S100="",0,1)</f>
        <v>#REF!</v>
      </c>
      <c r="U100" s="38" t="s">
        <v>68</v>
      </c>
      <c r="V100" s="38" t="e">
        <f>#REF!</f>
        <v>#REF!</v>
      </c>
      <c r="W100" s="38" t="e">
        <f>IF(V100&gt;0,V100+W99,V100)</f>
        <v>#REF!</v>
      </c>
      <c r="X100" s="38" t="e">
        <f t="shared" si="0"/>
        <v>#REF!</v>
      </c>
      <c r="Y100" s="38">
        <v>2</v>
      </c>
      <c r="Z100" s="38" t="s">
        <v>69</v>
      </c>
    </row>
    <row r="101" spans="1:26" x14ac:dyDescent="0.25">
      <c r="H101" s="35"/>
      <c r="I101" s="35"/>
      <c r="J101" s="35"/>
      <c r="S101" s="38" t="e">
        <f>IF(T100&gt;0,IF(SUM(T104:T124)&gt;0,", ",". "),"")</f>
        <v>#REF!</v>
      </c>
      <c r="U101" s="38" t="s">
        <v>70</v>
      </c>
      <c r="V101" s="38" t="e">
        <f>#REF!</f>
        <v>#REF!</v>
      </c>
      <c r="W101" s="38" t="e">
        <f>IF(V101,MAX($W$99:W100)+V101,V101)</f>
        <v>#REF!</v>
      </c>
      <c r="X101" s="38" t="e">
        <f t="shared" si="0"/>
        <v>#REF!</v>
      </c>
      <c r="Y101" s="38">
        <v>3</v>
      </c>
      <c r="Z101" s="38" t="s">
        <v>71</v>
      </c>
    </row>
    <row r="102" spans="1:26" x14ac:dyDescent="0.25">
      <c r="A102" s="360" t="str">
        <f>IF($B$2=$L$5,"9.","10.")</f>
        <v>10.</v>
      </c>
      <c r="B102" s="28" t="str">
        <f>IF(B2=L5,"Honorarvereinbarung für die zunächst beauftragenden Leistungen","Honorangebot für die zunächst beauftragenden Leistungen ")</f>
        <v xml:space="preserve">Honorangebot für die zunächst beauftragenden Leistungen </v>
      </c>
      <c r="H102" s="35"/>
      <c r="I102" s="35"/>
      <c r="J102" s="35"/>
      <c r="S102" s="38" t="e">
        <f>IF(#REF!&gt;0,"Fernmelde- und Informationstechnische Anlagen","")</f>
        <v>#REF!</v>
      </c>
      <c r="T102" s="38" t="e">
        <f>IF(S102="",0,1)</f>
        <v>#REF!</v>
      </c>
      <c r="U102" s="38" t="s">
        <v>72</v>
      </c>
      <c r="V102" s="38" t="e">
        <f>#REF!</f>
        <v>#REF!</v>
      </c>
      <c r="W102" s="38" t="e">
        <f>IF(V102,MAX($W$99:W101)+V102,V102)</f>
        <v>#REF!</v>
      </c>
      <c r="X102" s="38" t="e">
        <f t="shared" si="0"/>
        <v>#REF!</v>
      </c>
      <c r="Y102" s="38">
        <v>4</v>
      </c>
      <c r="Z102" s="38" t="s">
        <v>73</v>
      </c>
    </row>
    <row r="103" spans="1:26" ht="14.55" thickBot="1" x14ac:dyDescent="0.3">
      <c r="H103" s="35"/>
      <c r="I103" s="35"/>
      <c r="J103" s="35"/>
      <c r="S103" s="38" t="e">
        <f>IF(T102&gt;0,IF(SUM(T106:T124)&gt;0,", ",". "),"")</f>
        <v>#REF!</v>
      </c>
      <c r="U103" s="38" t="s">
        <v>74</v>
      </c>
      <c r="V103" s="38" t="e">
        <f>#REF!</f>
        <v>#REF!</v>
      </c>
      <c r="W103" s="38" t="e">
        <f>IF(V103,MAX($W$99:W102)+V103,V103)</f>
        <v>#REF!</v>
      </c>
      <c r="X103" s="38" t="e">
        <f t="shared" si="0"/>
        <v>#REF!</v>
      </c>
      <c r="Y103" s="38">
        <v>5</v>
      </c>
      <c r="Z103" s="38" t="s">
        <v>75</v>
      </c>
    </row>
    <row r="104" spans="1:26" x14ac:dyDescent="0.25">
      <c r="B104" s="703" t="s">
        <v>59</v>
      </c>
      <c r="C104" s="704"/>
      <c r="D104" s="704"/>
      <c r="E104" s="704"/>
      <c r="F104" s="705"/>
      <c r="G104" s="61"/>
      <c r="H104" s="706">
        <v>0</v>
      </c>
      <c r="I104" s="706"/>
      <c r="J104" s="707"/>
      <c r="S104" s="38" t="e">
        <f>IF(#REF!&gt;0,"Förderanlagen","")</f>
        <v>#REF!</v>
      </c>
      <c r="T104" s="38" t="e">
        <f>IF(S104="",0,1)</f>
        <v>#REF!</v>
      </c>
      <c r="U104" s="38" t="s">
        <v>76</v>
      </c>
      <c r="V104" s="38" t="e">
        <f>#REF!</f>
        <v>#REF!</v>
      </c>
      <c r="W104" s="38" t="e">
        <f>IF(V104,MAX($W$99:W103)+V104,V104)</f>
        <v>#REF!</v>
      </c>
      <c r="X104" s="38" t="e">
        <f t="shared" si="0"/>
        <v>#REF!</v>
      </c>
      <c r="Y104" s="38">
        <v>6</v>
      </c>
      <c r="Z104" s="38" t="s">
        <v>77</v>
      </c>
    </row>
    <row r="105" spans="1:26" x14ac:dyDescent="0.25">
      <c r="B105" s="697" t="s">
        <v>60</v>
      </c>
      <c r="C105" s="698"/>
      <c r="D105" s="698"/>
      <c r="E105" s="698"/>
      <c r="F105" s="699"/>
      <c r="G105" s="63"/>
      <c r="H105" s="672"/>
      <c r="I105" s="672"/>
      <c r="J105" s="673"/>
      <c r="S105" s="38" t="e">
        <f>IF(T104&gt;0,IF(SUM(T106:T124)&gt;0,", ",". "),"")</f>
        <v>#REF!</v>
      </c>
      <c r="U105" s="38" t="s">
        <v>78</v>
      </c>
      <c r="V105" s="38" t="e">
        <f>#REF!</f>
        <v>#REF!</v>
      </c>
      <c r="W105" s="38" t="e">
        <f>IF(V105,MAX($W$99:W104)+V105,V105)</f>
        <v>#REF!</v>
      </c>
      <c r="X105" s="38" t="e">
        <f t="shared" si="0"/>
        <v>#REF!</v>
      </c>
      <c r="Y105" s="38">
        <v>7</v>
      </c>
      <c r="Z105" s="38" t="s">
        <v>79</v>
      </c>
    </row>
    <row r="106" spans="1:26" ht="15.95" customHeight="1" thickBot="1" x14ac:dyDescent="0.3">
      <c r="B106" s="700"/>
      <c r="C106" s="701"/>
      <c r="D106" s="701"/>
      <c r="E106" s="701"/>
      <c r="F106" s="702"/>
      <c r="G106" s="64"/>
      <c r="H106" s="708">
        <v>0</v>
      </c>
      <c r="I106" s="708"/>
      <c r="J106" s="709"/>
      <c r="S106" s="38" t="e">
        <f>IF(#REF!&gt;0,"Nutzerspezifische Anlagen","")</f>
        <v>#REF!</v>
      </c>
      <c r="T106" s="38" t="e">
        <f>IF(S106="",0,1)</f>
        <v>#REF!</v>
      </c>
      <c r="U106" s="38" t="s">
        <v>80</v>
      </c>
      <c r="V106" s="38" t="e">
        <f>#REF!</f>
        <v>#REF!</v>
      </c>
      <c r="W106" s="38" t="e">
        <f>IF(V106,MAX($W$99:W105)+V106,V106)</f>
        <v>#REF!</v>
      </c>
      <c r="X106" s="38" t="e">
        <f t="shared" si="0"/>
        <v>#REF!</v>
      </c>
      <c r="Y106" s="38">
        <v>8</v>
      </c>
      <c r="Z106" s="38" t="s">
        <v>81</v>
      </c>
    </row>
    <row r="107" spans="1:26" x14ac:dyDescent="0.25">
      <c r="B107" s="65"/>
      <c r="C107" s="66"/>
      <c r="D107" s="66"/>
      <c r="E107" s="66"/>
      <c r="F107" s="125"/>
      <c r="G107" s="14"/>
      <c r="H107" s="92"/>
      <c r="I107" s="92"/>
      <c r="J107" s="674"/>
      <c r="S107" s="38" t="e">
        <f>IF(T106&gt;0,IF(SUM(T108:T124)&gt;0,", ",". "),"")</f>
        <v>#REF!</v>
      </c>
      <c r="U107" s="38" t="s">
        <v>82</v>
      </c>
      <c r="V107" s="38" t="e">
        <f>#REF!</f>
        <v>#REF!</v>
      </c>
      <c r="W107" s="38" t="e">
        <f>IF(V107,MAX($W$99:W106)+V107,V107)</f>
        <v>#REF!</v>
      </c>
      <c r="X107" s="38" t="e">
        <f t="shared" si="0"/>
        <v>#REF!</v>
      </c>
      <c r="Y107" s="38">
        <v>9</v>
      </c>
      <c r="Z107" s="38" t="s">
        <v>83</v>
      </c>
    </row>
    <row r="108" spans="1:26" x14ac:dyDescent="0.25">
      <c r="B108" s="692" t="s">
        <v>61</v>
      </c>
      <c r="C108" s="693"/>
      <c r="D108" s="693"/>
      <c r="E108" s="693"/>
      <c r="F108" s="694"/>
      <c r="G108" s="63"/>
      <c r="H108" s="695">
        <v>0</v>
      </c>
      <c r="I108" s="695"/>
      <c r="J108" s="696"/>
      <c r="S108" s="38" t="e">
        <f>IF(#REF!&gt;0,"Gebäudeautomation und Automation von Ingenieurbauwerken","")</f>
        <v>#REF!</v>
      </c>
      <c r="T108" s="38" t="e">
        <f>IF(S108="",0,1)</f>
        <v>#REF!</v>
      </c>
      <c r="U108" s="38" t="s">
        <v>84</v>
      </c>
      <c r="V108" s="38" t="e">
        <f>#REF!</f>
        <v>#REF!</v>
      </c>
      <c r="W108" s="38" t="e">
        <f>IF(V108,MAX($W$99:W107)+V108,V108)</f>
        <v>#REF!</v>
      </c>
      <c r="X108" s="38" t="e">
        <f t="shared" si="0"/>
        <v>#REF!</v>
      </c>
      <c r="Y108" s="38">
        <v>10</v>
      </c>
      <c r="Z108" s="38" t="s">
        <v>85</v>
      </c>
    </row>
    <row r="109" spans="1:26" ht="14.55" thickBot="1" x14ac:dyDescent="0.3">
      <c r="B109" s="201"/>
      <c r="C109" s="202"/>
      <c r="D109" s="202"/>
      <c r="E109" s="202"/>
      <c r="F109" s="203"/>
      <c r="G109" s="68"/>
      <c r="H109" s="675"/>
      <c r="I109" s="675"/>
      <c r="J109" s="676"/>
      <c r="S109" s="38" t="e">
        <f>IF(T108&gt;0,IF(SUM(T110:T124)&gt;0,", ",". "),"")</f>
        <v>#REF!</v>
      </c>
      <c r="U109" s="38" t="s">
        <v>86</v>
      </c>
      <c r="V109" s="38" t="e">
        <f>#REF!</f>
        <v>#REF!</v>
      </c>
      <c r="W109" s="38" t="e">
        <f>IF(V109,MAX($W$99:W108)+V109,V109)</f>
        <v>#REF!</v>
      </c>
      <c r="X109" s="38" t="e">
        <f t="shared" si="0"/>
        <v>#REF!</v>
      </c>
      <c r="Y109" s="38">
        <v>11</v>
      </c>
      <c r="Z109" s="38" t="s">
        <v>87</v>
      </c>
    </row>
    <row r="110" spans="1:26" outlineLevel="1" x14ac:dyDescent="0.25">
      <c r="B110" s="222"/>
      <c r="C110" s="10"/>
      <c r="D110" s="10"/>
      <c r="E110" s="10"/>
      <c r="F110" s="223"/>
      <c r="G110" s="63"/>
      <c r="H110" s="672"/>
      <c r="I110" s="672"/>
      <c r="J110" s="673"/>
      <c r="S110" s="38" t="e">
        <f>IF(#REF!&gt;0,"Bauphysik - Wärmeschutz und Energiebilanzierung","")</f>
        <v>#REF!</v>
      </c>
      <c r="T110" s="38" t="e">
        <f>IF(S110="",0,1)</f>
        <v>#REF!</v>
      </c>
      <c r="U110" s="38" t="s">
        <v>88</v>
      </c>
      <c r="V110" s="38" t="e">
        <f>#REF!</f>
        <v>#REF!</v>
      </c>
      <c r="W110" s="38" t="e">
        <f>IF(V110,MAX($W$99:W109)+V110,V110)</f>
        <v>#REF!</v>
      </c>
      <c r="X110" s="38" t="e">
        <f t="shared" si="0"/>
        <v>#REF!</v>
      </c>
      <c r="Y110" s="38">
        <v>12</v>
      </c>
      <c r="Z110" s="38" t="s">
        <v>89</v>
      </c>
    </row>
    <row r="111" spans="1:26" outlineLevel="1" x14ac:dyDescent="0.25">
      <c r="B111" s="692" t="s">
        <v>62</v>
      </c>
      <c r="C111" s="693"/>
      <c r="D111" s="693"/>
      <c r="E111" s="693"/>
      <c r="F111" s="694"/>
      <c r="G111" s="63"/>
      <c r="H111" s="695">
        <f>'Auftragsänderungen &amp; -ergänzung'!H93</f>
        <v>0</v>
      </c>
      <c r="I111" s="695"/>
      <c r="J111" s="696"/>
      <c r="S111" s="38" t="e">
        <f>IF(T110&gt;0,IF(SUM(T112:T124)&gt;0,", ",". "),"")</f>
        <v>#REF!</v>
      </c>
      <c r="U111" s="38" t="s">
        <v>90</v>
      </c>
      <c r="V111" s="38" t="e">
        <f>#REF!</f>
        <v>#REF!</v>
      </c>
      <c r="W111" s="38" t="e">
        <f>IF(V111,MAX($W$99:W110)+V111,V111)</f>
        <v>#REF!</v>
      </c>
      <c r="X111" s="38" t="e">
        <f t="shared" si="0"/>
        <v>#REF!</v>
      </c>
      <c r="Y111" s="38">
        <v>13</v>
      </c>
      <c r="Z111" s="38" t="s">
        <v>91</v>
      </c>
    </row>
    <row r="112" spans="1:26" ht="14.55" outlineLevel="1" thickBot="1" x14ac:dyDescent="0.3">
      <c r="B112" s="217"/>
      <c r="C112" s="218"/>
      <c r="D112" s="218"/>
      <c r="E112" s="218"/>
      <c r="F112" s="219"/>
      <c r="G112" s="212"/>
      <c r="H112" s="677"/>
      <c r="I112" s="677"/>
      <c r="J112" s="678"/>
      <c r="S112" s="38" t="e">
        <f>IF(#REF!&gt;0,"Bauphysik - Wärmeschutz","")</f>
        <v>#REF!</v>
      </c>
      <c r="T112" s="38" t="e">
        <f>IF(S112="",0,1)</f>
        <v>#REF!</v>
      </c>
      <c r="U112" s="38" t="s">
        <v>92</v>
      </c>
      <c r="V112" s="38" t="e">
        <f>#REF!</f>
        <v>#REF!</v>
      </c>
      <c r="W112" s="38" t="e">
        <f>IF(V112,MAX($W$99:W111)+V112,V112)</f>
        <v>#REF!</v>
      </c>
      <c r="X112" s="38" t="e">
        <f t="shared" ref="X112:X117" si="1">IF(V112&gt;0,VLOOKUP(W112,$Y$98:$Z$123,2),"")</f>
        <v>#REF!</v>
      </c>
      <c r="Y112" s="38">
        <v>14</v>
      </c>
      <c r="Z112" s="38" t="s">
        <v>93</v>
      </c>
    </row>
    <row r="113" spans="1:26" ht="14.55" thickBot="1" x14ac:dyDescent="0.3">
      <c r="B113" s="744" t="s">
        <v>63</v>
      </c>
      <c r="C113" s="745"/>
      <c r="D113" s="745"/>
      <c r="E113" s="745"/>
      <c r="F113" s="746"/>
      <c r="G113" s="69"/>
      <c r="H113" s="724">
        <f>SUM(H104:J111)</f>
        <v>0</v>
      </c>
      <c r="I113" s="724"/>
      <c r="J113" s="725"/>
      <c r="S113" s="38" t="e">
        <f>IF(T112&gt;0,IF(SUM(T114:T124)&gt;0,", ",". "),"")</f>
        <v>#REF!</v>
      </c>
      <c r="U113" s="38" t="s">
        <v>94</v>
      </c>
      <c r="V113" s="38" t="e">
        <f>#REF!</f>
        <v>#REF!</v>
      </c>
      <c r="W113" s="38" t="e">
        <f>IF(V113,MAX($W$99:W112)+V113,V113)</f>
        <v>#REF!</v>
      </c>
      <c r="X113" s="38" t="e">
        <f t="shared" si="1"/>
        <v>#REF!</v>
      </c>
      <c r="Y113" s="38">
        <v>15</v>
      </c>
      <c r="Z113" s="38" t="s">
        <v>95</v>
      </c>
    </row>
    <row r="114" spans="1:26" x14ac:dyDescent="0.25">
      <c r="B114" s="238"/>
      <c r="C114" s="239"/>
      <c r="D114" s="239"/>
      <c r="E114" s="239"/>
      <c r="F114" s="240"/>
      <c r="G114" s="14"/>
      <c r="H114" s="679"/>
      <c r="I114" s="679"/>
      <c r="J114" s="680"/>
      <c r="S114" s="38" t="e">
        <f>IF(#REF!&gt;0,"Bauphysik - Bauakustik","")</f>
        <v>#REF!</v>
      </c>
      <c r="T114" s="38" t="e">
        <f>IF(S114="",0,1)</f>
        <v>#REF!</v>
      </c>
      <c r="U114" s="38" t="s">
        <v>96</v>
      </c>
      <c r="V114" s="38">
        <f>'Technische Ausrüstung'!S8</f>
        <v>0</v>
      </c>
      <c r="W114" s="38">
        <f>IF(V114,MAX($W$99:W113)+V114,V114)</f>
        <v>0</v>
      </c>
      <c r="X114" s="38" t="str">
        <f t="shared" si="1"/>
        <v/>
      </c>
      <c r="Y114" s="38">
        <v>16</v>
      </c>
      <c r="Z114" s="38" t="s">
        <v>97</v>
      </c>
    </row>
    <row r="115" spans="1:26" x14ac:dyDescent="0.25">
      <c r="B115" s="715" t="s">
        <v>98</v>
      </c>
      <c r="C115" s="716"/>
      <c r="D115" s="716"/>
      <c r="E115" s="716"/>
      <c r="F115" s="717"/>
      <c r="G115" s="62">
        <f>G97</f>
        <v>0.19</v>
      </c>
      <c r="H115" s="695">
        <f>H113*G115</f>
        <v>0</v>
      </c>
      <c r="I115" s="695"/>
      <c r="J115" s="696"/>
      <c r="S115" s="38" t="e">
        <f>IF(T114&gt;0,IF(SUM(T56:T72)&gt;0,", ",". "),"")</f>
        <v>#REF!</v>
      </c>
      <c r="U115" s="38" t="s">
        <v>99</v>
      </c>
      <c r="V115" s="315">
        <f>'weitere Besondere Leistungen'!O351</f>
        <v>1</v>
      </c>
      <c r="W115" s="38" t="e">
        <f>IF(V115,MAX($W$99:W114)+V115,V115)</f>
        <v>#REF!</v>
      </c>
      <c r="X115" s="38" t="e">
        <f t="shared" si="1"/>
        <v>#REF!</v>
      </c>
      <c r="Y115" s="38">
        <v>17</v>
      </c>
      <c r="Z115" s="38" t="s">
        <v>100</v>
      </c>
    </row>
    <row r="116" spans="1:26" ht="14.55" thickBot="1" x14ac:dyDescent="0.3">
      <c r="B116" s="226"/>
      <c r="C116" s="227"/>
      <c r="D116" s="227"/>
      <c r="E116" s="227"/>
      <c r="F116" s="228"/>
      <c r="G116" s="64"/>
      <c r="H116" s="675"/>
      <c r="I116" s="675"/>
      <c r="J116" s="676"/>
      <c r="S116" s="38" t="e">
        <f>IF(#REF!&gt;0,"Bauphysik - Raumakustik","")</f>
        <v>#REF!</v>
      </c>
      <c r="T116" s="38" t="e">
        <f>IF(S116="",0,1)</f>
        <v>#REF!</v>
      </c>
      <c r="U116" s="38" t="s">
        <v>101</v>
      </c>
      <c r="V116" s="315" t="e">
        <f>#REF!</f>
        <v>#REF!</v>
      </c>
      <c r="W116" s="38" t="e">
        <f>IF(V116,MAX($W$99:W115)+V116,V116)</f>
        <v>#REF!</v>
      </c>
      <c r="X116" s="38" t="e">
        <f t="shared" si="1"/>
        <v>#REF!</v>
      </c>
      <c r="Y116" s="38">
        <v>18</v>
      </c>
      <c r="Z116" s="38" t="s">
        <v>102</v>
      </c>
    </row>
    <row r="117" spans="1:26" x14ac:dyDescent="0.25">
      <c r="B117" s="738" t="s">
        <v>103</v>
      </c>
      <c r="C117" s="739"/>
      <c r="D117" s="739"/>
      <c r="E117" s="739"/>
      <c r="F117" s="740"/>
      <c r="G117" s="103"/>
      <c r="H117" s="720">
        <v>0</v>
      </c>
      <c r="I117" s="720"/>
      <c r="J117" s="721"/>
      <c r="L117" s="38"/>
      <c r="S117" s="38" t="e">
        <f>IF(T116&gt;0,IF(SUM(T118:T124)&gt;0,", ",". "),"")</f>
        <v>#REF!</v>
      </c>
      <c r="U117" s="38" t="s">
        <v>104</v>
      </c>
      <c r="V117" s="38">
        <f>'Auftragsänderungen &amp; -ergänzung'!L76</f>
        <v>0</v>
      </c>
      <c r="W117" s="38">
        <f>IF(V117,MAX($W$99:W116)+V117,V117)</f>
        <v>0</v>
      </c>
      <c r="X117" s="38" t="str">
        <f t="shared" si="1"/>
        <v/>
      </c>
      <c r="Y117" s="38">
        <v>19</v>
      </c>
      <c r="Z117" s="38" t="s">
        <v>105</v>
      </c>
    </row>
    <row r="118" spans="1:26" ht="14.55" thickBot="1" x14ac:dyDescent="0.3">
      <c r="B118" s="741"/>
      <c r="C118" s="742"/>
      <c r="D118" s="742"/>
      <c r="E118" s="742"/>
      <c r="F118" s="743"/>
      <c r="G118" s="60"/>
      <c r="H118" s="722"/>
      <c r="I118" s="722"/>
      <c r="J118" s="723"/>
      <c r="L118" s="38"/>
      <c r="S118" s="38" t="e">
        <f>IF(#REF!&gt;0,"Tragwerksplanung","")</f>
        <v>#REF!</v>
      </c>
      <c r="T118" s="38" t="e">
        <f>IF(S118="",0,1)</f>
        <v>#REF!</v>
      </c>
    </row>
    <row r="119" spans="1:26" x14ac:dyDescent="0.25">
      <c r="L119" s="38" t="s">
        <v>106</v>
      </c>
      <c r="S119" s="38" t="e">
        <f>IF(T118&gt;0,IF(SUM(T120:T124)&gt;0,", ",". "),"")</f>
        <v>#REF!</v>
      </c>
    </row>
    <row r="120" spans="1:26" x14ac:dyDescent="0.25">
      <c r="A120" s="360" t="str">
        <f>IF($B$2=$L$5,"10.","11.")</f>
        <v>11.</v>
      </c>
      <c r="B120" s="9" t="str">
        <f>IF(B2=L5,"Gemäß der Honorarvereinbarung werden die Leistungsstufen wie folgt vergütet","Gemäß dem Honorarangebot werden die Leistungsstufen wie folgt vergütet")</f>
        <v>Gemäß dem Honorarangebot werden die Leistungsstufen wie folgt vergütet</v>
      </c>
      <c r="L120" s="38" t="s">
        <v>107</v>
      </c>
      <c r="S120" s="38" t="e">
        <f>IF(#REF!&gt;0,"Freianlagen","")</f>
        <v>#REF!</v>
      </c>
      <c r="T120" s="38" t="e">
        <f>IF(S120="",0,1)</f>
        <v>#REF!</v>
      </c>
    </row>
    <row r="121" spans="1:26" ht="14.55" thickBot="1" x14ac:dyDescent="0.3">
      <c r="L121" s="38"/>
      <c r="S121" s="38" t="e">
        <f>IF(T120&gt;0,IF(SUM(T121:T127)&gt;0,", ",". "),"")</f>
        <v>#REF!</v>
      </c>
    </row>
    <row r="122" spans="1:26" ht="15" customHeight="1" x14ac:dyDescent="0.25">
      <c r="B122" s="353"/>
      <c r="C122" s="749" t="s">
        <v>108</v>
      </c>
      <c r="D122" s="749"/>
      <c r="E122" s="749"/>
      <c r="F122" s="749"/>
      <c r="G122" s="729" t="s">
        <v>109</v>
      </c>
      <c r="H122" s="730"/>
      <c r="I122" s="729" t="s">
        <v>110</v>
      </c>
      <c r="J122" s="730"/>
      <c r="K122" s="755" t="s">
        <v>111</v>
      </c>
      <c r="L122" s="756"/>
      <c r="M122" s="38"/>
      <c r="N122" s="38"/>
      <c r="O122" s="751" t="s">
        <v>112</v>
      </c>
      <c r="P122" s="751" t="s">
        <v>113</v>
      </c>
      <c r="Q122" s="751" t="s">
        <v>114</v>
      </c>
      <c r="R122" s="38"/>
      <c r="S122" s="38" t="e">
        <f>IF(#REF!&gt;0,"Bebauungsplan","")</f>
        <v>#REF!</v>
      </c>
      <c r="T122" s="38" t="e">
        <f>IF(S122="",0,1)</f>
        <v>#REF!</v>
      </c>
      <c r="U122" s="35"/>
      <c r="V122" s="35"/>
      <c r="W122" s="35"/>
    </row>
    <row r="123" spans="1:26" ht="29.25" customHeight="1" thickBot="1" x14ac:dyDescent="0.3">
      <c r="B123" s="354" t="s">
        <v>115</v>
      </c>
      <c r="C123" s="747" t="s">
        <v>116</v>
      </c>
      <c r="D123" s="747"/>
      <c r="E123" s="748" t="s">
        <v>117</v>
      </c>
      <c r="F123" s="748"/>
      <c r="G123" s="731"/>
      <c r="H123" s="732"/>
      <c r="I123" s="731"/>
      <c r="J123" s="732"/>
      <c r="K123" s="757"/>
      <c r="L123" s="758"/>
      <c r="M123" s="38"/>
      <c r="N123" s="38"/>
      <c r="O123" s="751"/>
      <c r="P123" s="751"/>
      <c r="Q123" s="751" t="s">
        <v>114</v>
      </c>
      <c r="R123" s="38"/>
      <c r="S123" s="38" t="e">
        <f>IF(T122&gt;0,IF(SUM(T123:T126)&gt;0,", ",". "),"")</f>
        <v>#REF!</v>
      </c>
      <c r="U123" s="35"/>
      <c r="V123" s="35"/>
      <c r="W123" s="35"/>
    </row>
    <row r="124" spans="1:26" x14ac:dyDescent="0.25">
      <c r="B124" s="352" t="str">
        <f>IF(Überblick!$H$53&gt;=1,"1:",0)</f>
        <v>1:</v>
      </c>
      <c r="C124" s="713">
        <v>0</v>
      </c>
      <c r="D124" s="713"/>
      <c r="E124" s="713">
        <f>C124*$G$115+C124</f>
        <v>0</v>
      </c>
      <c r="F124" s="713"/>
      <c r="G124" s="711"/>
      <c r="H124" s="712"/>
      <c r="I124" s="711"/>
      <c r="J124" s="712"/>
      <c r="K124" s="753" t="s">
        <v>106</v>
      </c>
      <c r="L124" s="754"/>
      <c r="M124" s="38">
        <v>1</v>
      </c>
      <c r="N124" s="38" t="str">
        <f t="shared" ref="N124:N132" si="2">K124</f>
        <v>ja</v>
      </c>
      <c r="O124" s="38">
        <f>IF(OR(G124="",I124=""),1,0)</f>
        <v>1</v>
      </c>
      <c r="P124" s="38"/>
      <c r="Q124" s="38">
        <f>O124</f>
        <v>1</v>
      </c>
      <c r="R124" s="38"/>
      <c r="S124" s="38" t="str">
        <f>IF('Technische Ausrüstung'!V246&gt;0,"Technische Ausrüstung","")</f>
        <v/>
      </c>
      <c r="T124" s="38">
        <f>IF(S124="",0,1)</f>
        <v>0</v>
      </c>
      <c r="U124" s="35"/>
      <c r="V124" s="35"/>
      <c r="W124" s="35"/>
    </row>
    <row r="125" spans="1:26" x14ac:dyDescent="0.25">
      <c r="B125" s="99" t="str">
        <f>IF(Überblick!$H$53&gt;=2,"2:",0)</f>
        <v>2:</v>
      </c>
      <c r="C125" s="690">
        <v>0</v>
      </c>
      <c r="D125" s="690"/>
      <c r="E125" s="690">
        <f t="shared" ref="E125:E131" si="3">C125*$G$115+C125</f>
        <v>0</v>
      </c>
      <c r="F125" s="690"/>
      <c r="G125" s="691"/>
      <c r="H125" s="691"/>
      <c r="I125" s="691"/>
      <c r="J125" s="691"/>
      <c r="K125" s="752" t="s">
        <v>107</v>
      </c>
      <c r="L125" s="752"/>
      <c r="M125" s="38">
        <v>2</v>
      </c>
      <c r="N125" s="38" t="str">
        <f t="shared" si="2"/>
        <v>nein</v>
      </c>
      <c r="O125" s="38">
        <f t="shared" ref="O125:O132" si="4">IF(OR(G125="",I125=""),1,0)</f>
        <v>1</v>
      </c>
      <c r="P125" s="38">
        <f>IF($H$53&gt;=2,1,0)</f>
        <v>1</v>
      </c>
      <c r="Q125" s="38">
        <f>IF(O125+P125=2,1,0)</f>
        <v>1</v>
      </c>
      <c r="R125" s="38"/>
      <c r="S125" s="38" t="str">
        <f>IF(T124&gt;0,IF(SUM(T125:T128)&gt;0,", ",". "),"")</f>
        <v/>
      </c>
      <c r="U125" s="35"/>
      <c r="V125" s="35"/>
      <c r="W125" s="35"/>
    </row>
    <row r="126" spans="1:26" x14ac:dyDescent="0.25">
      <c r="B126" s="99" t="str">
        <f>IF(Überblick!$H$53&gt;=3,"3:",0)</f>
        <v>3:</v>
      </c>
      <c r="C126" s="690">
        <v>0</v>
      </c>
      <c r="D126" s="690"/>
      <c r="E126" s="690">
        <f t="shared" si="3"/>
        <v>0</v>
      </c>
      <c r="F126" s="690"/>
      <c r="G126" s="691"/>
      <c r="H126" s="691"/>
      <c r="I126" s="691"/>
      <c r="J126" s="691"/>
      <c r="K126" s="752" t="s">
        <v>107</v>
      </c>
      <c r="L126" s="752"/>
      <c r="M126" s="38">
        <v>3</v>
      </c>
      <c r="N126" s="38" t="str">
        <f t="shared" si="2"/>
        <v>nein</v>
      </c>
      <c r="O126" s="38">
        <f t="shared" si="4"/>
        <v>1</v>
      </c>
      <c r="P126" s="38">
        <f>IF($H$53&gt;=3,1,0)</f>
        <v>1</v>
      </c>
      <c r="Q126" s="38">
        <f t="shared" ref="Q126:Q132" si="5">IF(O126+P126=2,1,0)</f>
        <v>1</v>
      </c>
      <c r="R126" s="38"/>
      <c r="S126" s="38" t="str">
        <f>IF('weitere Besondere Leistungen'!O351&gt;0,"weitere Besondere Leistungen","")</f>
        <v>weitere Besondere Leistungen</v>
      </c>
      <c r="T126" s="38">
        <f>IF(S126="",0,1)</f>
        <v>1</v>
      </c>
      <c r="U126" s="35"/>
      <c r="V126" s="35"/>
      <c r="W126" s="35"/>
    </row>
    <row r="127" spans="1:26" x14ac:dyDescent="0.25">
      <c r="B127" s="99">
        <f>IF(Überblick!$H$53&gt;=4,"4:",0)</f>
        <v>0</v>
      </c>
      <c r="C127" s="690" t="e">
        <f>'Berechnung - Hochbau'!Q134+'Berechnung - Abwasser'!Q141+'Berechnung - Wärme'!Q138+'Berechnung - Starkstrom'!Q138+#REF!+'Berechnung - Förderanlagen'!Q138+'Berechnung - Nutzeranlagen'!Q138+'Berechnung - Freianlagen'!Q134+'Berechnung - Tragswerksplanung'!Q130+'Berechnung - Gebäudeautomation'!Q138+'Berechnung - Lufttechnik'!Q138+'Berechnung - Wärmeschutz'!Q109+'Berechnung Auftragsänderung'!M75+'Berechnung besondere Leistungen'!C242+'Berechnung - Raumakustik'!Q109+'Berechnung - Bauakustik'!Q109+'Berechnung - GÜ-Berater'!F145+#REF!+'Berechnung - Tech. Ausrüstung'!Q138</f>
        <v>#REF!</v>
      </c>
      <c r="D127" s="690"/>
      <c r="E127" s="690" t="e">
        <f t="shared" si="3"/>
        <v>#REF!</v>
      </c>
      <c r="F127" s="690"/>
      <c r="G127" s="691"/>
      <c r="H127" s="691"/>
      <c r="I127" s="691"/>
      <c r="J127" s="691"/>
      <c r="K127" s="752" t="s">
        <v>107</v>
      </c>
      <c r="L127" s="752"/>
      <c r="M127" s="38">
        <v>4</v>
      </c>
      <c r="N127" s="38" t="str">
        <f t="shared" si="2"/>
        <v>nein</v>
      </c>
      <c r="O127" s="38">
        <f t="shared" si="4"/>
        <v>1</v>
      </c>
      <c r="P127" s="38">
        <f>IF($H$53&gt;=4,1,0)</f>
        <v>0</v>
      </c>
      <c r="Q127" s="38">
        <f t="shared" si="5"/>
        <v>0</v>
      </c>
      <c r="R127" s="38"/>
      <c r="S127" s="38" t="e">
        <f>IF(T126&gt;0,IF(T128&gt;0,", ",". "),"")</f>
        <v>#REF!</v>
      </c>
      <c r="U127" s="35"/>
      <c r="V127" s="35"/>
      <c r="W127" s="35"/>
    </row>
    <row r="128" spans="1:26" x14ac:dyDescent="0.25">
      <c r="B128" s="99">
        <f>IF(Überblick!$H$53&gt;=5,"5:",0)</f>
        <v>0</v>
      </c>
      <c r="C128" s="690" t="e">
        <f>'Berechnung - Hochbau'!Q135+'Berechnung - Abwasser'!Q142+'Berechnung - Wärme'!Q139+'Berechnung - Starkstrom'!Q139+#REF!+'Berechnung - Förderanlagen'!Q139+'Berechnung - Nutzeranlagen'!Q139+'Berechnung - Freianlagen'!Q135+'Berechnung - Tragswerksplanung'!Q131+'Berechnung - Gebäudeautomation'!Q139+'Berechnung - Lufttechnik'!Q139+'Berechnung - Wärmeschutz'!Q110+'Berechnung Auftragsänderung'!M76+'Berechnung besondere Leistungen'!C243+'Berechnung - Raumakustik'!Q110+'Berechnung - Bauakustik'!Q110+'Berechnung - GÜ-Berater'!G145+#REF!+'Berechnung - Tech. Ausrüstung'!Q139</f>
        <v>#REF!</v>
      </c>
      <c r="D128" s="690"/>
      <c r="E128" s="690" t="e">
        <f t="shared" si="3"/>
        <v>#REF!</v>
      </c>
      <c r="F128" s="690"/>
      <c r="G128" s="691"/>
      <c r="H128" s="691"/>
      <c r="I128" s="691"/>
      <c r="J128" s="691"/>
      <c r="K128" s="752" t="s">
        <v>107</v>
      </c>
      <c r="L128" s="752"/>
      <c r="M128" s="38">
        <v>5</v>
      </c>
      <c r="N128" s="38" t="str">
        <f t="shared" si="2"/>
        <v>nein</v>
      </c>
      <c r="O128" s="38">
        <f t="shared" si="4"/>
        <v>1</v>
      </c>
      <c r="P128" s="38">
        <f>IF($H$53&gt;=5,1,0)</f>
        <v>0</v>
      </c>
      <c r="Q128" s="38">
        <f t="shared" si="5"/>
        <v>0</v>
      </c>
      <c r="R128" s="38"/>
      <c r="S128" s="38" t="e">
        <f>IF(#REF!&gt;0,"weitere Besondere Leistungen - GÜ Berater","")</f>
        <v>#REF!</v>
      </c>
      <c r="T128" s="38" t="e">
        <f>IF(S128="",0,1)</f>
        <v>#REF!</v>
      </c>
      <c r="U128" s="35"/>
      <c r="V128" s="35"/>
      <c r="W128" s="35"/>
    </row>
    <row r="129" spans="2:23" x14ac:dyDescent="0.25">
      <c r="B129" s="99">
        <f>IF(Überblick!$H$53&gt;=6,"6:",0)</f>
        <v>0</v>
      </c>
      <c r="C129" s="690" t="e">
        <f>'Berechnung - Hochbau'!Q136+'Berechnung - Abwasser'!Q143+'Berechnung - Wärme'!Q140+'Berechnung - Starkstrom'!Q140+#REF!+'Berechnung - Förderanlagen'!Q140+'Berechnung - Nutzeranlagen'!Q140+'Berechnung - Freianlagen'!Q136+'Berechnung - Tragswerksplanung'!Q132+'Berechnung - Gebäudeautomation'!Q140+'Berechnung - Lufttechnik'!Q140+'Berechnung - Wärmeschutz'!Q111+'Berechnung Auftragsänderung'!M77+'Berechnung besondere Leistungen'!C244+'Berechnung - Raumakustik'!Q111+'Berechnung - Bauakustik'!Q111+'Berechnung - GÜ-Berater'!H145+#REF!+'Berechnung - Tech. Ausrüstung'!Q140</f>
        <v>#REF!</v>
      </c>
      <c r="D129" s="690"/>
      <c r="E129" s="690" t="e">
        <f t="shared" si="3"/>
        <v>#REF!</v>
      </c>
      <c r="F129" s="690"/>
      <c r="G129" s="691"/>
      <c r="H129" s="691"/>
      <c r="I129" s="691"/>
      <c r="J129" s="691"/>
      <c r="K129" s="752" t="s">
        <v>107</v>
      </c>
      <c r="L129" s="752"/>
      <c r="M129" s="38">
        <v>6</v>
      </c>
      <c r="N129" s="38" t="str">
        <f t="shared" si="2"/>
        <v>nein</v>
      </c>
      <c r="O129" s="38">
        <f t="shared" si="4"/>
        <v>1</v>
      </c>
      <c r="P129" s="38">
        <f>IF($H$53&gt;=6,1,0)</f>
        <v>0</v>
      </c>
      <c r="Q129" s="38">
        <f t="shared" si="5"/>
        <v>0</v>
      </c>
      <c r="R129" s="38"/>
      <c r="S129" s="38" t="e">
        <f>IF(T128&gt;0,IF(T130&gt;0,", ",". "),"")</f>
        <v>#REF!</v>
      </c>
      <c r="U129" s="35"/>
      <c r="V129" s="35"/>
      <c r="W129" s="35"/>
    </row>
    <row r="130" spans="2:23" x14ac:dyDescent="0.25">
      <c r="B130" s="99">
        <f>IF(Überblick!$H$53&gt;=7,"7:",0)</f>
        <v>0</v>
      </c>
      <c r="C130" s="690" t="e">
        <f>'Berechnung - Hochbau'!Q137+'Berechnung - Abwasser'!Q144+'Berechnung - Wärme'!Q141+'Berechnung - Starkstrom'!Q141+#REF!+'Berechnung - Förderanlagen'!Q141+'Berechnung - Nutzeranlagen'!Q141+'Berechnung - Freianlagen'!Q137+'Berechnung - Tragswerksplanung'!Q133+'Berechnung - Gebäudeautomation'!Q141+'Berechnung - Lufttechnik'!Q141+'Berechnung - Wärmeschutz'!Q112+'Berechnung Auftragsänderung'!M78+'Berechnung besondere Leistungen'!C245+'Berechnung - Raumakustik'!Q112+'Berechnung - Bauakustik'!Q112+'Berechnung - GÜ-Berater'!I145+#REF!+'Berechnung - Tech. Ausrüstung'!Q141</f>
        <v>#REF!</v>
      </c>
      <c r="D130" s="690"/>
      <c r="E130" s="690" t="e">
        <f t="shared" si="3"/>
        <v>#REF!</v>
      </c>
      <c r="F130" s="690"/>
      <c r="G130" s="691"/>
      <c r="H130" s="691"/>
      <c r="I130" s="691"/>
      <c r="J130" s="691"/>
      <c r="K130" s="752" t="s">
        <v>107</v>
      </c>
      <c r="L130" s="752"/>
      <c r="M130" s="38">
        <v>7</v>
      </c>
      <c r="N130" s="38" t="str">
        <f t="shared" si="2"/>
        <v>nein</v>
      </c>
      <c r="O130" s="38">
        <f t="shared" si="4"/>
        <v>1</v>
      </c>
      <c r="P130" s="38">
        <f>IF($H$53&gt;=7,1,0)</f>
        <v>0</v>
      </c>
      <c r="Q130" s="38">
        <f t="shared" si="5"/>
        <v>0</v>
      </c>
      <c r="R130" s="38"/>
      <c r="U130" s="35"/>
      <c r="V130" s="35"/>
      <c r="W130" s="35"/>
    </row>
    <row r="131" spans="2:23" x14ac:dyDescent="0.25">
      <c r="B131" s="99">
        <f>IF(Überblick!$H$53&gt;=8,"8:",0)</f>
        <v>0</v>
      </c>
      <c r="C131" s="690" t="e">
        <f>'Berechnung - Hochbau'!Q138+'Berechnung - Abwasser'!Q145+'Berechnung - Wärme'!Q142+'Berechnung - Starkstrom'!Q142+#REF!+'Berechnung - Förderanlagen'!Q142+'Berechnung - Nutzeranlagen'!Q142+'Berechnung - Freianlagen'!Q138+'Berechnung - Tragswerksplanung'!Q134+'Berechnung - Gebäudeautomation'!Q142+'Berechnung - Lufttechnik'!Q142+'Berechnung - Wärmeschutz'!Q113+'Berechnung Auftragsänderung'!M79+'Berechnung besondere Leistungen'!C246+'Berechnung - Raumakustik'!Q113+'Berechnung - Bauakustik'!Q113+'Berechnung - GÜ-Berater'!J145+#REF!+'Berechnung - Tech. Ausrüstung'!Q142</f>
        <v>#REF!</v>
      </c>
      <c r="D131" s="690"/>
      <c r="E131" s="690" t="e">
        <f t="shared" si="3"/>
        <v>#REF!</v>
      </c>
      <c r="F131" s="690"/>
      <c r="G131" s="691"/>
      <c r="H131" s="691"/>
      <c r="I131" s="691"/>
      <c r="J131" s="691"/>
      <c r="K131" s="752" t="s">
        <v>107</v>
      </c>
      <c r="L131" s="752"/>
      <c r="M131" s="38">
        <v>8</v>
      </c>
      <c r="N131" s="38" t="str">
        <f t="shared" si="2"/>
        <v>nein</v>
      </c>
      <c r="O131" s="38">
        <f t="shared" si="4"/>
        <v>1</v>
      </c>
      <c r="P131" s="38">
        <f>IF($H$53&gt;=8,1,0)</f>
        <v>0</v>
      </c>
      <c r="Q131" s="38">
        <f t="shared" si="5"/>
        <v>0</v>
      </c>
      <c r="R131" s="38"/>
      <c r="U131" s="35"/>
      <c r="V131" s="35"/>
      <c r="W131" s="35"/>
    </row>
    <row r="132" spans="2:23" x14ac:dyDescent="0.25">
      <c r="B132" s="99">
        <f>IF(Überblick!$H$53&gt;=9,"9:",0)</f>
        <v>0</v>
      </c>
      <c r="C132" s="690" t="e">
        <f>'Berechnung - Hochbau'!Q139+'Berechnung - Abwasser'!Q146+'Berechnung - Wärme'!Q143+'Berechnung - Starkstrom'!Q143+#REF!+'Berechnung - Förderanlagen'!Q143+'Berechnung - Nutzeranlagen'!Q143+'Berechnung - Freianlagen'!Q139+'Berechnung - Tragswerksplanung'!Q135+'Berechnung - Gebäudeautomation'!Q143+'Berechnung - Lufttechnik'!Q143+'Berechnung - Wärmeschutz'!Q114+'Berechnung Auftragsänderung'!M80+'Berechnung besondere Leistungen'!C247+'Berechnung - Raumakustik'!Q114+'Berechnung - Bauakustik'!Q114+'Berechnung - GÜ-Berater'!K145+#REF!+'Berechnung - Tech. Ausrüstung'!Q143</f>
        <v>#REF!</v>
      </c>
      <c r="D132" s="690"/>
      <c r="E132" s="690" t="e">
        <f t="shared" ref="E132" si="6">C132*$G$115+C132</f>
        <v>#REF!</v>
      </c>
      <c r="F132" s="690"/>
      <c r="G132" s="691"/>
      <c r="H132" s="691"/>
      <c r="I132" s="691"/>
      <c r="J132" s="691"/>
      <c r="K132" s="752" t="s">
        <v>107</v>
      </c>
      <c r="L132" s="752"/>
      <c r="M132" s="38">
        <v>9</v>
      </c>
      <c r="N132" s="38" t="str">
        <f t="shared" si="2"/>
        <v>nein</v>
      </c>
      <c r="O132" s="38">
        <f t="shared" si="4"/>
        <v>1</v>
      </c>
      <c r="P132" s="38">
        <f>IF($H$53&gt;=9,1,0)</f>
        <v>0</v>
      </c>
      <c r="Q132" s="38">
        <f t="shared" si="5"/>
        <v>0</v>
      </c>
      <c r="R132" s="38"/>
      <c r="U132" s="35"/>
      <c r="V132" s="35"/>
      <c r="W132" s="35"/>
    </row>
    <row r="133" spans="2:23" x14ac:dyDescent="0.25">
      <c r="M133" s="38">
        <v>0</v>
      </c>
      <c r="N133" s="38" t="s">
        <v>118</v>
      </c>
      <c r="O133" s="38"/>
      <c r="P133" s="38"/>
      <c r="Q133" s="38">
        <f>SUM(Q124:Q132)</f>
        <v>3</v>
      </c>
      <c r="R133" s="38"/>
      <c r="U133" s="35"/>
      <c r="V133" s="35"/>
      <c r="W133" s="35"/>
    </row>
    <row r="134" spans="2:23" x14ac:dyDescent="0.25">
      <c r="S134" s="35"/>
      <c r="T134" s="35"/>
      <c r="U134" s="35"/>
      <c r="V134" s="35"/>
      <c r="W134" s="35"/>
    </row>
    <row r="135" spans="2:23" x14ac:dyDescent="0.25">
      <c r="S135" s="35"/>
      <c r="T135" s="35"/>
      <c r="U135" s="35"/>
      <c r="V135" s="35"/>
      <c r="W135" s="35"/>
    </row>
    <row r="136" spans="2:23" x14ac:dyDescent="0.25">
      <c r="S136" s="35"/>
      <c r="T136" s="35"/>
      <c r="U136" s="35"/>
      <c r="V136" s="35"/>
      <c r="W136" s="35"/>
    </row>
  </sheetData>
  <mergeCells count="116">
    <mergeCell ref="S5:U7"/>
    <mergeCell ref="S8:U10"/>
    <mergeCell ref="O122:O123"/>
    <mergeCell ref="P122:P123"/>
    <mergeCell ref="Q122:Q123"/>
    <mergeCell ref="K131:L131"/>
    <mergeCell ref="K132:L132"/>
    <mergeCell ref="K127:L127"/>
    <mergeCell ref="K128:L128"/>
    <mergeCell ref="K129:L129"/>
    <mergeCell ref="K130:L130"/>
    <mergeCell ref="K124:L124"/>
    <mergeCell ref="K122:L123"/>
    <mergeCell ref="K125:L125"/>
    <mergeCell ref="K126:L126"/>
    <mergeCell ref="I122:J123"/>
    <mergeCell ref="K46:M46"/>
    <mergeCell ref="K45:M45"/>
    <mergeCell ref="B47:J48"/>
    <mergeCell ref="B63:Q69"/>
    <mergeCell ref="B57:Q61"/>
    <mergeCell ref="B73:Q77"/>
    <mergeCell ref="B82:Q82"/>
    <mergeCell ref="K39:M39"/>
    <mergeCell ref="B115:F115"/>
    <mergeCell ref="B117:F118"/>
    <mergeCell ref="B108:F108"/>
    <mergeCell ref="B113:F113"/>
    <mergeCell ref="B111:F111"/>
    <mergeCell ref="C123:D123"/>
    <mergeCell ref="E123:F123"/>
    <mergeCell ref="C122:F122"/>
    <mergeCell ref="G122:H123"/>
    <mergeCell ref="B95:F95"/>
    <mergeCell ref="H95:J95"/>
    <mergeCell ref="B99:F100"/>
    <mergeCell ref="H99:J100"/>
    <mergeCell ref="B104:F104"/>
    <mergeCell ref="H104:J104"/>
    <mergeCell ref="B105:F106"/>
    <mergeCell ref="D40:E40"/>
    <mergeCell ref="B97:F97"/>
    <mergeCell ref="G29:N29"/>
    <mergeCell ref="H97:J97"/>
    <mergeCell ref="K48:M48"/>
    <mergeCell ref="H115:J115"/>
    <mergeCell ref="H111:J111"/>
    <mergeCell ref="H117:J118"/>
    <mergeCell ref="H106:J106"/>
    <mergeCell ref="H108:J108"/>
    <mergeCell ref="H113:J113"/>
    <mergeCell ref="B80:Q81"/>
    <mergeCell ref="F34:J34"/>
    <mergeCell ref="J35:N35"/>
    <mergeCell ref="C127:D127"/>
    <mergeCell ref="I130:J130"/>
    <mergeCell ref="I131:J131"/>
    <mergeCell ref="I132:J132"/>
    <mergeCell ref="I124:J124"/>
    <mergeCell ref="I125:J125"/>
    <mergeCell ref="I126:J126"/>
    <mergeCell ref="I127:J127"/>
    <mergeCell ref="I128:J128"/>
    <mergeCell ref="C128:D128"/>
    <mergeCell ref="E128:F128"/>
    <mergeCell ref="I129:J129"/>
    <mergeCell ref="E127:F127"/>
    <mergeCell ref="C124:D124"/>
    <mergeCell ref="E124:F124"/>
    <mergeCell ref="C125:D125"/>
    <mergeCell ref="E125:F125"/>
    <mergeCell ref="C126:D126"/>
    <mergeCell ref="E126:F126"/>
    <mergeCell ref="G125:H125"/>
    <mergeCell ref="G126:H126"/>
    <mergeCell ref="G124:H124"/>
    <mergeCell ref="Q1:R1"/>
    <mergeCell ref="C132:D132"/>
    <mergeCell ref="E132:F132"/>
    <mergeCell ref="G132:H132"/>
    <mergeCell ref="G129:H129"/>
    <mergeCell ref="G130:H130"/>
    <mergeCell ref="G131:H131"/>
    <mergeCell ref="C131:D131"/>
    <mergeCell ref="E131:F131"/>
    <mergeCell ref="C129:D129"/>
    <mergeCell ref="E129:F129"/>
    <mergeCell ref="B93:F93"/>
    <mergeCell ref="H93:J93"/>
    <mergeCell ref="B87:F88"/>
    <mergeCell ref="G127:H127"/>
    <mergeCell ref="G128:H128"/>
    <mergeCell ref="B86:F86"/>
    <mergeCell ref="H86:J86"/>
    <mergeCell ref="H88:J88"/>
    <mergeCell ref="B90:F90"/>
    <mergeCell ref="H90:J90"/>
    <mergeCell ref="B9:P14"/>
    <mergeCell ref="C130:D130"/>
    <mergeCell ref="E130:F130"/>
    <mergeCell ref="B25:C25"/>
    <mergeCell ref="D25:I25"/>
    <mergeCell ref="Q2:R2"/>
    <mergeCell ref="B22:C22"/>
    <mergeCell ref="D22:I22"/>
    <mergeCell ref="B23:C23"/>
    <mergeCell ref="D23:I23"/>
    <mergeCell ref="B24:C24"/>
    <mergeCell ref="D24:I24"/>
    <mergeCell ref="B17:E17"/>
    <mergeCell ref="B19:C19"/>
    <mergeCell ref="D19:I19"/>
    <mergeCell ref="D20:I20"/>
    <mergeCell ref="B21:C21"/>
    <mergeCell ref="D21:I21"/>
    <mergeCell ref="F2:O2"/>
  </mergeCells>
  <conditionalFormatting sqref="B125:B131">
    <cfRule type="cellIs" dxfId="517" priority="34" operator="greaterThan">
      <formula>0</formula>
    </cfRule>
  </conditionalFormatting>
  <conditionalFormatting sqref="C125:F132">
    <cfRule type="expression" dxfId="516" priority="31">
      <formula>$B125&gt;0</formula>
    </cfRule>
  </conditionalFormatting>
  <conditionalFormatting sqref="B132">
    <cfRule type="cellIs" dxfId="515" priority="30" operator="greaterThan">
      <formula>0</formula>
    </cfRule>
  </conditionalFormatting>
  <conditionalFormatting sqref="G125:H125">
    <cfRule type="expression" dxfId="514" priority="25">
      <formula>B125&gt;""</formula>
    </cfRule>
  </conditionalFormatting>
  <conditionalFormatting sqref="G129:H132">
    <cfRule type="expression" dxfId="513" priority="23">
      <formula>B129&gt;""</formula>
    </cfRule>
  </conditionalFormatting>
  <conditionalFormatting sqref="I125:J125">
    <cfRule type="expression" dxfId="512" priority="22">
      <formula>B125&gt;""</formula>
    </cfRule>
  </conditionalFormatting>
  <conditionalFormatting sqref="I127:J132">
    <cfRule type="expression" dxfId="511" priority="21">
      <formula>$B127&gt;""</formula>
    </cfRule>
  </conditionalFormatting>
  <conditionalFormatting sqref="I126:J126">
    <cfRule type="expression" dxfId="510" priority="20">
      <formula>B126&gt;""</formula>
    </cfRule>
  </conditionalFormatting>
  <conditionalFormatting sqref="J35">
    <cfRule type="expression" dxfId="509" priority="746">
      <formula>$S$35=$B$35</formula>
    </cfRule>
  </conditionalFormatting>
  <conditionalFormatting sqref="N39">
    <cfRule type="expression" dxfId="508" priority="17">
      <formula>$B$39=$S$39</formula>
    </cfRule>
  </conditionalFormatting>
  <conditionalFormatting sqref="B40 F40">
    <cfRule type="expression" dxfId="507" priority="16">
      <formula>$S$39=$B$39</formula>
    </cfRule>
  </conditionalFormatting>
  <conditionalFormatting sqref="D40:E40">
    <cfRule type="expression" dxfId="506" priority="15">
      <formula>$B$39=$S$39</formula>
    </cfRule>
  </conditionalFormatting>
  <conditionalFormatting sqref="K125:L125">
    <cfRule type="expression" dxfId="505" priority="13">
      <formula>B125&gt;""</formula>
    </cfRule>
  </conditionalFormatting>
  <conditionalFormatting sqref="K126:L126">
    <cfRule type="expression" dxfId="504" priority="12">
      <formula>$B126&gt;""</formula>
    </cfRule>
  </conditionalFormatting>
  <conditionalFormatting sqref="K127:L127">
    <cfRule type="expression" dxfId="503" priority="11">
      <formula>$B127&gt;""</formula>
    </cfRule>
  </conditionalFormatting>
  <conditionalFormatting sqref="K128:L128">
    <cfRule type="expression" dxfId="502" priority="10">
      <formula>$B128&gt;""</formula>
    </cfRule>
  </conditionalFormatting>
  <conditionalFormatting sqref="K129:L129">
    <cfRule type="expression" dxfId="501" priority="9">
      <formula>$B129&gt;""</formula>
    </cfRule>
  </conditionalFormatting>
  <conditionalFormatting sqref="K130:L130">
    <cfRule type="expression" dxfId="500" priority="8">
      <formula>$B130&gt;""</formula>
    </cfRule>
  </conditionalFormatting>
  <conditionalFormatting sqref="K131:L131">
    <cfRule type="expression" dxfId="499" priority="7">
      <formula>$B131&gt;""</formula>
    </cfRule>
  </conditionalFormatting>
  <conditionalFormatting sqref="K132:L132">
    <cfRule type="expression" dxfId="498" priority="6">
      <formula>$B132&gt;""</formula>
    </cfRule>
  </conditionalFormatting>
  <conditionalFormatting sqref="G126:H126">
    <cfRule type="expression" dxfId="497" priority="5">
      <formula>B126&gt;""</formula>
    </cfRule>
  </conditionalFormatting>
  <conditionalFormatting sqref="G127:H127">
    <cfRule type="expression" dxfId="496" priority="4">
      <formula>B127&gt;""</formula>
    </cfRule>
  </conditionalFormatting>
  <conditionalFormatting sqref="G128:H128">
    <cfRule type="expression" dxfId="495" priority="3">
      <formula>B128&gt;""</formula>
    </cfRule>
  </conditionalFormatting>
  <conditionalFormatting sqref="K39">
    <cfRule type="expression" dxfId="494" priority="2">
      <formula>$B$39=$S$39</formula>
    </cfRule>
  </conditionalFormatting>
  <dataValidations count="6">
    <dataValidation type="list" allowBlank="1" showInputMessage="1" showErrorMessage="1" sqref="H53" xr:uid="{8E47AA03-7C19-4ECC-8B8D-35FC1C554CCF}">
      <formula1>$AA$88:$AA$96</formula1>
    </dataValidation>
    <dataValidation type="list" allowBlank="1" showInputMessage="1" showErrorMessage="1" sqref="B29" xr:uid="{6E8020B6-AB00-467E-BCC7-873143468A5A}">
      <formula1>$S$29:$S$30</formula1>
    </dataValidation>
    <dataValidation type="list" allowBlank="1" showInputMessage="1" showErrorMessage="1" sqref="B35" xr:uid="{46473010-EE34-4E51-BFE2-903DD5DCD24C}">
      <formula1>$S$35:$S$36</formula1>
    </dataValidation>
    <dataValidation type="list" allowBlank="1" showInputMessage="1" showErrorMessage="1" sqref="B39" xr:uid="{16988FDC-4AB7-4E3E-B0B4-F6587F7E099E}">
      <formula1>$S$39:$S$40</formula1>
    </dataValidation>
    <dataValidation type="list" allowBlank="1" showInputMessage="1" showErrorMessage="1" sqref="K124:L132" xr:uid="{B542938D-A6F6-4D9D-BCFF-CD182340AD95}">
      <formula1>$L$119:$L$120</formula1>
    </dataValidation>
    <dataValidation type="list" allowBlank="1" showInputMessage="1" showErrorMessage="1" sqref="B2" xr:uid="{9BE2A338-741F-4E7F-A160-D53295BF75E0}">
      <formula1>$L$4:$L$5</formula1>
    </dataValidation>
  </dataValidations>
  <pageMargins left="0.25" right="0.25" top="0.75" bottom="0.75" header="0.3" footer="0.3"/>
  <pageSetup paperSize="9" scale="50" fitToHeight="5" orientation="portrait" r:id="rId1"/>
  <rowBreaks count="1" manualBreakCount="1">
    <brk id="101" max="16383" man="1"/>
  </rowBreaks>
  <ignoredErrors>
    <ignoredError sqref="S121 S128 S124" formula="1"/>
    <ignoredError sqref="E129:E132" evalError="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00B050"/>
  </sheetPr>
  <dimension ref="A1:AJ324"/>
  <sheetViews>
    <sheetView tabSelected="1" topLeftCell="A246" zoomScale="85" zoomScaleNormal="85" workbookViewId="0">
      <selection activeCell="R287" sqref="R287"/>
    </sheetView>
  </sheetViews>
  <sheetFormatPr baseColWidth="10" defaultColWidth="11.44140625" defaultRowHeight="13.9" x14ac:dyDescent="0.25"/>
  <cols>
    <col min="1" max="1" width="9.109375" style="357" customWidth="1"/>
    <col min="2" max="2" width="9.33203125" style="8" customWidth="1"/>
    <col min="3" max="3" width="10.6640625" style="8" bestFit="1" customWidth="1"/>
    <col min="4" max="7" width="9.33203125" style="8" customWidth="1"/>
    <col min="8" max="8" width="9.44140625" style="8" customWidth="1"/>
    <col min="9" max="13" width="9.33203125" style="8" customWidth="1"/>
    <col min="14" max="14" width="9.44140625" style="8" customWidth="1"/>
    <col min="15" max="17" width="9.33203125" style="8" customWidth="1"/>
    <col min="18" max="23" width="9.33203125" style="35" customWidth="1"/>
    <col min="24" max="24" width="11" style="35" customWidth="1"/>
    <col min="25" max="25" width="5.33203125" style="35" customWidth="1"/>
    <col min="26" max="26" width="4.5546875" style="35" customWidth="1"/>
    <col min="27" max="34" width="11.44140625" style="35"/>
    <col min="35" max="36" width="11.44140625" style="38"/>
    <col min="37" max="16384" width="11.44140625" style="8"/>
  </cols>
  <sheetData>
    <row r="1" spans="1:30" x14ac:dyDescent="0.25">
      <c r="A1" s="359" t="str">
        <f>Überblick!X99</f>
        <v>B.</v>
      </c>
      <c r="B1" s="116" t="str">
        <f>IF(Überblick!B2=Überblick!L4,Hochbauplanung!V1,Hochbauplanung!V2)</f>
        <v>Honorarangebot HOAI-Gebäude/Innenräume</v>
      </c>
      <c r="P1" s="83"/>
      <c r="Q1" s="83"/>
      <c r="T1" s="689" t="str">
        <f>Überblick!Q1</f>
        <v>Version: 24.07.2023</v>
      </c>
      <c r="U1" s="689"/>
      <c r="V1" s="38" t="s">
        <v>119</v>
      </c>
      <c r="W1" s="38"/>
      <c r="X1" s="38"/>
      <c r="Y1" s="38"/>
      <c r="Z1" s="38"/>
      <c r="AA1" s="38"/>
      <c r="AB1" s="38"/>
      <c r="AC1" s="38"/>
      <c r="AD1" s="38"/>
    </row>
    <row r="2" spans="1:30" x14ac:dyDescent="0.25">
      <c r="P2" s="83"/>
      <c r="Q2" s="83"/>
      <c r="R2" s="381" t="s">
        <v>120</v>
      </c>
      <c r="S2" s="759" t="str">
        <f>IF(Überblick!Q2=0,"",Überblick!Q2)</f>
        <v/>
      </c>
      <c r="T2" s="759"/>
      <c r="U2" s="759"/>
      <c r="V2" s="38" t="s">
        <v>121</v>
      </c>
      <c r="W2" s="38"/>
      <c r="X2" s="38"/>
      <c r="Y2" s="38"/>
      <c r="Z2" s="38"/>
      <c r="AA2" s="38"/>
      <c r="AB2" s="38"/>
      <c r="AC2" s="38"/>
      <c r="AD2" s="38"/>
    </row>
    <row r="3" spans="1:30" x14ac:dyDescent="0.25">
      <c r="A3" s="357" t="s">
        <v>122</v>
      </c>
      <c r="B3" s="9" t="s">
        <v>123</v>
      </c>
      <c r="P3" s="83"/>
      <c r="Q3" s="83"/>
      <c r="R3" s="381" t="s">
        <v>27</v>
      </c>
      <c r="S3" s="759" t="str">
        <f>IF(Überblick!G29=0,"",Überblick!G29)</f>
        <v>Breite Straße, 10178 Berlin-Mitte (Los 2)</v>
      </c>
      <c r="T3" s="759"/>
      <c r="U3" s="759"/>
      <c r="V3" s="38"/>
      <c r="W3" s="38"/>
      <c r="X3" s="38"/>
      <c r="Y3" s="38"/>
      <c r="Z3" s="38"/>
      <c r="AA3" s="38"/>
      <c r="AB3" s="38"/>
      <c r="AC3" s="38"/>
      <c r="AD3" s="38"/>
    </row>
    <row r="4" spans="1:30" ht="14.55" thickBot="1" x14ac:dyDescent="0.3">
      <c r="R4" s="381" t="s">
        <v>20</v>
      </c>
      <c r="S4" s="759" t="str">
        <f>IF(Überblick!D19=0,"",Überblick!D19)</f>
        <v/>
      </c>
      <c r="T4" s="759"/>
      <c r="U4" s="759"/>
      <c r="V4" s="38"/>
      <c r="W4" s="38"/>
      <c r="X4" s="38"/>
      <c r="Y4" s="38"/>
      <c r="Z4" s="38"/>
      <c r="AA4" s="38"/>
      <c r="AB4" s="38"/>
      <c r="AC4" s="38"/>
      <c r="AD4" s="38"/>
    </row>
    <row r="5" spans="1:30" ht="15" customHeight="1" thickBot="1" x14ac:dyDescent="0.3">
      <c r="B5" s="14"/>
      <c r="C5" s="15"/>
      <c r="D5" s="15"/>
      <c r="E5" s="15"/>
      <c r="F5" s="997" t="s">
        <v>124</v>
      </c>
      <c r="G5" s="998"/>
      <c r="H5" s="998"/>
      <c r="I5" s="998"/>
      <c r="J5" s="998"/>
      <c r="K5" s="998"/>
      <c r="L5" s="998"/>
      <c r="M5" s="998"/>
      <c r="N5" s="998"/>
      <c r="O5" s="998"/>
      <c r="P5" s="998"/>
      <c r="Q5" s="999"/>
      <c r="R5" s="344" t="s">
        <v>125</v>
      </c>
      <c r="S5" s="344"/>
      <c r="T5" s="344"/>
      <c r="U5" s="344" t="s">
        <v>126</v>
      </c>
      <c r="V5" s="344" t="s">
        <v>124</v>
      </c>
      <c r="W5" s="344"/>
      <c r="X5" s="344"/>
      <c r="Y5" s="38"/>
      <c r="Z5" s="38"/>
      <c r="AA5" s="38"/>
      <c r="AB5" s="38"/>
      <c r="AC5" s="38"/>
      <c r="AD5" s="38"/>
    </row>
    <row r="6" spans="1:30" ht="32.25" customHeight="1" thickBot="1" x14ac:dyDescent="0.3">
      <c r="B6" s="14"/>
      <c r="C6" s="15"/>
      <c r="D6" s="15"/>
      <c r="E6" s="15"/>
      <c r="F6" s="1000" t="s">
        <v>127</v>
      </c>
      <c r="G6" s="1001"/>
      <c r="H6" s="1001"/>
      <c r="I6" s="1002"/>
      <c r="J6" s="1000" t="s">
        <v>128</v>
      </c>
      <c r="K6" s="1001"/>
      <c r="L6" s="1001"/>
      <c r="M6" s="1002"/>
      <c r="N6" s="1000" t="s">
        <v>129</v>
      </c>
      <c r="O6" s="1001"/>
      <c r="P6" s="1001"/>
      <c r="Q6" s="1002"/>
      <c r="R6" s="50"/>
      <c r="S6" s="50"/>
      <c r="T6" s="50"/>
      <c r="U6" s="50"/>
      <c r="V6" s="50" t="s">
        <v>130</v>
      </c>
      <c r="W6" s="50"/>
      <c r="X6" s="50"/>
      <c r="Y6" s="38"/>
      <c r="Z6" s="38"/>
      <c r="AA6" s="38"/>
      <c r="AB6" s="38"/>
      <c r="AC6" s="38"/>
      <c r="AD6" s="38"/>
    </row>
    <row r="7" spans="1:30" ht="15.95" customHeight="1" x14ac:dyDescent="0.25">
      <c r="B7" s="14"/>
      <c r="C7" s="15"/>
      <c r="D7" s="15"/>
      <c r="E7" s="15"/>
      <c r="F7" s="959" t="s">
        <v>131</v>
      </c>
      <c r="G7" s="960"/>
      <c r="H7" s="936"/>
      <c r="I7" s="937"/>
      <c r="J7" s="955" t="s">
        <v>131</v>
      </c>
      <c r="K7" s="956"/>
      <c r="L7" s="936"/>
      <c r="M7" s="937"/>
      <c r="N7" s="955" t="s">
        <v>131</v>
      </c>
      <c r="O7" s="956"/>
      <c r="P7" s="936"/>
      <c r="Q7" s="937"/>
      <c r="R7" s="50"/>
      <c r="S7" s="50"/>
      <c r="T7" s="50"/>
      <c r="U7" s="50"/>
      <c r="V7" s="50"/>
      <c r="W7" s="50"/>
      <c r="X7" s="50"/>
      <c r="Y7" s="38"/>
      <c r="Z7" s="38"/>
      <c r="AA7" s="38"/>
      <c r="AB7" s="38"/>
      <c r="AC7" s="38"/>
      <c r="AD7" s="38"/>
    </row>
    <row r="8" spans="1:30" ht="15.95" customHeight="1" thickBot="1" x14ac:dyDescent="0.3">
      <c r="B8" s="961" t="s">
        <v>132</v>
      </c>
      <c r="C8" s="962"/>
      <c r="D8" s="962"/>
      <c r="E8" s="963"/>
      <c r="F8" s="957" t="s">
        <v>117</v>
      </c>
      <c r="G8" s="958"/>
      <c r="H8" s="946" t="s">
        <v>116</v>
      </c>
      <c r="I8" s="947"/>
      <c r="J8" s="957" t="s">
        <v>117</v>
      </c>
      <c r="K8" s="958"/>
      <c r="L8" s="946" t="s">
        <v>116</v>
      </c>
      <c r="M8" s="947"/>
      <c r="N8" s="957" t="s">
        <v>117</v>
      </c>
      <c r="O8" s="958"/>
      <c r="P8" s="946" t="s">
        <v>116</v>
      </c>
      <c r="Q8" s="947"/>
      <c r="R8" s="97"/>
      <c r="S8" s="97"/>
      <c r="T8" s="83"/>
      <c r="U8" s="97"/>
      <c r="V8" s="97"/>
      <c r="W8" s="97"/>
      <c r="X8" s="97"/>
      <c r="Y8" s="38"/>
      <c r="Z8" s="38"/>
      <c r="AA8" s="38"/>
      <c r="AB8" s="38"/>
      <c r="AC8" s="38"/>
      <c r="AD8" s="38"/>
    </row>
    <row r="9" spans="1:30" ht="15" customHeight="1" x14ac:dyDescent="0.25">
      <c r="B9" s="967" t="s">
        <v>133</v>
      </c>
      <c r="C9" s="968"/>
      <c r="D9" s="968"/>
      <c r="E9" s="969"/>
      <c r="F9" s="970">
        <f>H9*Überblick!G97+H9</f>
        <v>0</v>
      </c>
      <c r="G9" s="971"/>
      <c r="H9" s="974">
        <v>0</v>
      </c>
      <c r="I9" s="975"/>
      <c r="J9" s="951">
        <f>L9*1.19</f>
        <v>0</v>
      </c>
      <c r="K9" s="952"/>
      <c r="L9" s="953"/>
      <c r="M9" s="954"/>
      <c r="N9" s="951">
        <f>P9*1.19</f>
        <v>0</v>
      </c>
      <c r="O9" s="952"/>
      <c r="P9" s="953"/>
      <c r="Q9" s="954"/>
      <c r="R9" s="58">
        <f>SUM(H9,L9,P9)+SUM(H10,L10,P10)</f>
        <v>0</v>
      </c>
      <c r="S9" s="97">
        <f>IF((R9+AC273)&gt;0,1,0)</f>
        <v>1</v>
      </c>
      <c r="T9" s="58" t="s">
        <v>134</v>
      </c>
      <c r="U9" s="58"/>
      <c r="V9" s="58"/>
      <c r="W9" s="58"/>
      <c r="X9" s="58"/>
      <c r="Y9" s="38"/>
      <c r="Z9" s="38"/>
      <c r="AA9" s="38"/>
      <c r="AB9" s="38"/>
      <c r="AC9" s="38"/>
      <c r="AD9" s="38"/>
    </row>
    <row r="10" spans="1:30" ht="30.8" customHeight="1" thickBot="1" x14ac:dyDescent="0.3">
      <c r="B10" s="964" t="s">
        <v>135</v>
      </c>
      <c r="C10" s="965"/>
      <c r="D10" s="965"/>
      <c r="E10" s="966"/>
      <c r="F10" s="972">
        <f>H10*Überblick!G97+H10</f>
        <v>0</v>
      </c>
      <c r="G10" s="973"/>
      <c r="H10" s="976">
        <v>0</v>
      </c>
      <c r="I10" s="977"/>
      <c r="J10" s="942">
        <f>L10*1.19</f>
        <v>0</v>
      </c>
      <c r="K10" s="943"/>
      <c r="L10" s="944"/>
      <c r="M10" s="945"/>
      <c r="N10" s="942">
        <f>P10*1.19</f>
        <v>0</v>
      </c>
      <c r="O10" s="943"/>
      <c r="P10" s="944"/>
      <c r="Q10" s="945"/>
      <c r="R10" s="58"/>
      <c r="S10" s="58"/>
      <c r="T10" s="58" t="s">
        <v>136</v>
      </c>
      <c r="U10" s="58"/>
      <c r="V10" s="58"/>
      <c r="W10" s="58"/>
      <c r="X10" s="58"/>
      <c r="Y10" s="38"/>
      <c r="Z10" s="38"/>
      <c r="AA10" s="38"/>
      <c r="AB10" s="38"/>
      <c r="AC10" s="38"/>
      <c r="AD10" s="38"/>
    </row>
    <row r="11" spans="1:30" x14ac:dyDescent="0.25">
      <c r="B11" s="346"/>
      <c r="C11" s="346"/>
      <c r="D11" s="346"/>
      <c r="E11" s="346"/>
      <c r="F11" s="1034" t="str">
        <f>IF(H23&gt;'Berechnung - Hochbau'!$B$27,Hochbauplanung!$T$10,"")</f>
        <v/>
      </c>
      <c r="G11" s="1034"/>
      <c r="H11" s="1034"/>
      <c r="I11" s="1034"/>
      <c r="J11" s="1034" t="str">
        <f>IF(L23&gt;'Berechnung - Hochbau'!$B$27,Hochbauplanung!$T$10,"")</f>
        <v/>
      </c>
      <c r="K11" s="1034"/>
      <c r="L11" s="1034"/>
      <c r="M11" s="1034"/>
      <c r="N11" s="1034" t="str">
        <f>IF(P23&gt;'Berechnung - Hochbau'!$B$27,Hochbauplanung!$T$10,"")</f>
        <v/>
      </c>
      <c r="O11" s="1034"/>
      <c r="P11" s="1034"/>
      <c r="Q11" s="1034"/>
      <c r="R11" s="58"/>
      <c r="S11" s="58"/>
      <c r="T11" s="58"/>
      <c r="U11" s="58"/>
      <c r="V11" s="58"/>
      <c r="W11" s="58"/>
      <c r="X11" s="58"/>
      <c r="Y11" s="38"/>
      <c r="Z11" s="38"/>
      <c r="AA11" s="38"/>
      <c r="AB11" s="38"/>
      <c r="AC11" s="38"/>
      <c r="AD11" s="38"/>
    </row>
    <row r="12" spans="1:30" x14ac:dyDescent="0.25">
      <c r="B12" s="232"/>
      <c r="C12" s="232"/>
      <c r="D12" s="232"/>
      <c r="E12" s="232"/>
      <c r="F12" s="1035"/>
      <c r="G12" s="1035"/>
      <c r="H12" s="1035"/>
      <c r="I12" s="1035"/>
      <c r="J12" s="1035"/>
      <c r="K12" s="1035"/>
      <c r="L12" s="1035"/>
      <c r="M12" s="1035"/>
      <c r="N12" s="1035"/>
      <c r="O12" s="1035"/>
      <c r="P12" s="1035"/>
      <c r="Q12" s="1035"/>
      <c r="R12" s="58"/>
      <c r="S12" s="58"/>
      <c r="T12" s="58"/>
      <c r="U12" s="58"/>
      <c r="V12" s="58"/>
      <c r="W12" s="58"/>
      <c r="X12" s="58"/>
      <c r="Y12" s="38"/>
      <c r="Z12" s="38"/>
      <c r="AA12" s="38"/>
      <c r="AB12" s="38"/>
      <c r="AC12" s="38"/>
      <c r="AD12" s="38"/>
    </row>
    <row r="13" spans="1:30" ht="14.55" thickBot="1" x14ac:dyDescent="0.3">
      <c r="B13" s="232"/>
      <c r="C13" s="232"/>
      <c r="D13" s="232"/>
      <c r="E13" s="232"/>
      <c r="F13" s="1035"/>
      <c r="G13" s="1035"/>
      <c r="H13" s="1035"/>
      <c r="I13" s="1035"/>
      <c r="J13" s="1035"/>
      <c r="K13" s="1035"/>
      <c r="L13" s="1035"/>
      <c r="M13" s="1035"/>
      <c r="N13" s="1035"/>
      <c r="O13" s="1035"/>
      <c r="P13" s="1035"/>
      <c r="Q13" s="1035"/>
      <c r="R13" s="58"/>
      <c r="S13" s="58"/>
      <c r="T13" s="58"/>
      <c r="U13" s="58"/>
      <c r="V13" s="58"/>
      <c r="W13" s="58"/>
      <c r="X13" s="58"/>
      <c r="Y13" s="38"/>
      <c r="Z13" s="38"/>
      <c r="AA13" s="38"/>
      <c r="AB13" s="38"/>
      <c r="AC13" s="38"/>
      <c r="AD13" s="38"/>
    </row>
    <row r="14" spans="1:30" ht="15.95" customHeight="1" x14ac:dyDescent="0.25">
      <c r="B14" s="948" t="s">
        <v>137</v>
      </c>
      <c r="C14" s="949"/>
      <c r="D14" s="949"/>
      <c r="E14" s="950"/>
      <c r="F14" s="215"/>
      <c r="G14" s="215"/>
      <c r="H14" s="215"/>
      <c r="I14" s="215"/>
      <c r="J14" s="215"/>
      <c r="K14" s="215"/>
      <c r="L14" s="215"/>
      <c r="M14" s="215"/>
      <c r="N14" s="215"/>
      <c r="O14" s="215"/>
      <c r="P14" s="215"/>
      <c r="Q14" s="216"/>
      <c r="R14" s="58"/>
      <c r="S14" s="58"/>
      <c r="T14" s="58"/>
      <c r="U14" s="58"/>
      <c r="V14" s="58"/>
      <c r="W14" s="58"/>
      <c r="X14" s="58"/>
      <c r="Y14" s="38"/>
      <c r="Z14" s="38"/>
      <c r="AA14" s="38"/>
      <c r="AB14" s="38"/>
      <c r="AC14" s="38"/>
      <c r="AD14" s="38"/>
    </row>
    <row r="15" spans="1:30" ht="15.95" customHeight="1" thickBot="1" x14ac:dyDescent="0.3">
      <c r="B15" s="700"/>
      <c r="C15" s="701"/>
      <c r="D15" s="701"/>
      <c r="E15" s="702"/>
      <c r="F15" s="220"/>
      <c r="G15" s="896"/>
      <c r="H15" s="896"/>
      <c r="I15" s="220"/>
      <c r="J15" s="220"/>
      <c r="K15" s="220"/>
      <c r="L15" s="220"/>
      <c r="M15" s="220"/>
      <c r="N15" s="220"/>
      <c r="O15" s="220"/>
      <c r="P15" s="220"/>
      <c r="Q15" s="221"/>
      <c r="R15" s="58"/>
      <c r="S15" s="58"/>
      <c r="T15" s="58"/>
      <c r="U15" s="58"/>
      <c r="V15" s="58"/>
      <c r="W15" s="58"/>
      <c r="X15" s="58"/>
      <c r="Y15" s="38"/>
      <c r="Z15" s="38"/>
      <c r="AA15" s="38"/>
      <c r="AB15" s="38"/>
      <c r="AC15" s="38"/>
      <c r="AD15" s="38"/>
    </row>
    <row r="16" spans="1:30" ht="14.25" customHeight="1" x14ac:dyDescent="0.25">
      <c r="B16" s="105"/>
      <c r="C16" s="18"/>
      <c r="D16" s="18"/>
      <c r="E16" s="18"/>
      <c r="F16" s="21"/>
      <c r="G16" s="93"/>
      <c r="H16" s="93"/>
      <c r="I16" s="20"/>
      <c r="J16" s="21"/>
      <c r="K16" s="19"/>
      <c r="L16" s="19"/>
      <c r="M16" s="20"/>
      <c r="N16" s="21"/>
      <c r="O16" s="19"/>
      <c r="P16" s="19"/>
      <c r="Q16" s="20"/>
      <c r="R16" s="314"/>
      <c r="S16" s="314"/>
      <c r="T16" s="316" t="s">
        <v>138</v>
      </c>
      <c r="U16" s="314"/>
      <c r="V16" s="314"/>
      <c r="W16" s="314"/>
      <c r="X16" s="314"/>
      <c r="Y16" s="38"/>
      <c r="Z16" s="38"/>
      <c r="AA16" s="38"/>
      <c r="AB16" s="38"/>
      <c r="AC16" s="38"/>
      <c r="AD16" s="38"/>
    </row>
    <row r="17" spans="2:30" ht="14.25" customHeight="1" x14ac:dyDescent="0.25">
      <c r="B17" s="978" t="s">
        <v>139</v>
      </c>
      <c r="C17" s="979"/>
      <c r="D17" s="979"/>
      <c r="E17" s="1054"/>
      <c r="F17" s="71"/>
      <c r="G17" s="382"/>
      <c r="H17" s="938">
        <f>H9+H10</f>
        <v>0</v>
      </c>
      <c r="I17" s="939"/>
      <c r="J17" s="213"/>
      <c r="K17" s="22"/>
      <c r="L17" s="938">
        <f>L9+L10</f>
        <v>0</v>
      </c>
      <c r="M17" s="939"/>
      <c r="N17" s="213"/>
      <c r="O17" s="22"/>
      <c r="P17" s="938">
        <f>P9+P10</f>
        <v>0</v>
      </c>
      <c r="Q17" s="939"/>
      <c r="R17" s="314"/>
      <c r="S17" s="314"/>
      <c r="T17" s="316"/>
      <c r="U17" s="314"/>
      <c r="V17" s="314"/>
      <c r="W17" s="314"/>
      <c r="X17" s="314"/>
      <c r="Y17" s="38"/>
      <c r="Z17" s="38"/>
      <c r="AA17" s="38"/>
      <c r="AB17" s="38"/>
      <c r="AC17" s="38"/>
      <c r="AD17" s="38"/>
    </row>
    <row r="18" spans="2:30" ht="14.25" customHeight="1" x14ac:dyDescent="0.25">
      <c r="B18" s="231"/>
      <c r="C18" s="232"/>
      <c r="D18" s="37"/>
      <c r="E18" s="37"/>
      <c r="F18" s="71"/>
      <c r="G18" s="382"/>
      <c r="H18" s="662"/>
      <c r="I18" s="663"/>
      <c r="J18" s="213"/>
      <c r="K18" s="22"/>
      <c r="L18" s="229"/>
      <c r="M18" s="230"/>
      <c r="N18" s="213"/>
      <c r="O18" s="22"/>
      <c r="P18" s="229"/>
      <c r="Q18" s="230"/>
      <c r="R18" s="314"/>
      <c r="S18" s="314"/>
      <c r="T18" s="316"/>
      <c r="U18" s="314"/>
      <c r="V18" s="314"/>
      <c r="W18" s="314"/>
      <c r="X18" s="314"/>
      <c r="Y18" s="38"/>
      <c r="Z18" s="38"/>
      <c r="AA18" s="38"/>
      <c r="AB18" s="38"/>
      <c r="AC18" s="38"/>
      <c r="AD18" s="38"/>
    </row>
    <row r="19" spans="2:30" x14ac:dyDescent="0.25">
      <c r="B19" s="978" t="s">
        <v>140</v>
      </c>
      <c r="C19" s="979"/>
      <c r="D19" s="979"/>
      <c r="E19" s="979"/>
      <c r="F19" s="72"/>
      <c r="G19" s="35"/>
      <c r="H19" s="938" t="str">
        <f>IF(H10=0,"0,00 €",H9*0.25)</f>
        <v>0,00 €</v>
      </c>
      <c r="I19" s="939"/>
      <c r="J19" s="94"/>
      <c r="L19" s="938" t="str">
        <f>IF(L10=0,"0,00 €",L9*0.25)</f>
        <v>0,00 €</v>
      </c>
      <c r="M19" s="939"/>
      <c r="N19" s="71"/>
      <c r="P19" s="938" t="str">
        <f>IF(P10=0,"0,00 €",P9*0.25)</f>
        <v>0,00 €</v>
      </c>
      <c r="Q19" s="939"/>
      <c r="R19" s="314"/>
      <c r="S19" s="314"/>
      <c r="T19" s="316"/>
      <c r="U19" s="314"/>
      <c r="V19" s="314"/>
      <c r="W19" s="314"/>
      <c r="X19" s="314"/>
      <c r="Y19" s="38"/>
      <c r="Z19" s="38"/>
      <c r="AA19" s="38"/>
      <c r="AB19" s="38"/>
      <c r="AC19" s="38"/>
      <c r="AD19" s="38"/>
    </row>
    <row r="20" spans="2:30" ht="15" customHeight="1" x14ac:dyDescent="0.25">
      <c r="B20" s="978" t="s">
        <v>141</v>
      </c>
      <c r="C20" s="979"/>
      <c r="D20" s="979"/>
      <c r="E20" s="979"/>
      <c r="F20" s="72"/>
      <c r="G20" s="35"/>
      <c r="H20" s="662"/>
      <c r="I20" s="663"/>
      <c r="J20" s="94"/>
      <c r="K20" s="229"/>
      <c r="L20" s="938"/>
      <c r="M20" s="939"/>
      <c r="N20" s="71"/>
      <c r="O20" s="229"/>
      <c r="P20" s="938"/>
      <c r="Q20" s="939"/>
      <c r="R20" s="314"/>
      <c r="S20" s="314"/>
      <c r="T20" s="314"/>
      <c r="U20" s="314"/>
      <c r="V20" s="314"/>
      <c r="W20" s="314"/>
      <c r="X20" s="314"/>
      <c r="Y20" s="38"/>
      <c r="Z20" s="38"/>
      <c r="AA20" s="38"/>
      <c r="AB20" s="38"/>
      <c r="AC20" s="38"/>
      <c r="AD20" s="38"/>
    </row>
    <row r="21" spans="2:30" ht="14.55" thickBot="1" x14ac:dyDescent="0.3">
      <c r="B21" s="978"/>
      <c r="C21" s="979"/>
      <c r="D21" s="979"/>
      <c r="E21" s="979"/>
      <c r="F21" s="72"/>
      <c r="G21" s="35"/>
      <c r="H21" s="938">
        <f>(H10-H19)*0.5</f>
        <v>0</v>
      </c>
      <c r="I21" s="939"/>
      <c r="J21" s="71"/>
      <c r="K21" s="229"/>
      <c r="L21" s="938">
        <f>(L10-L19)*0.5</f>
        <v>0</v>
      </c>
      <c r="M21" s="939"/>
      <c r="N21" s="214"/>
      <c r="O21" s="237"/>
      <c r="P21" s="940">
        <f>(P10-P19)*0.5</f>
        <v>0</v>
      </c>
      <c r="Q21" s="941"/>
      <c r="R21" s="314"/>
      <c r="S21" s="314"/>
      <c r="T21" s="314"/>
      <c r="U21" s="314"/>
      <c r="V21" s="314"/>
      <c r="W21" s="314"/>
      <c r="X21" s="314"/>
      <c r="Y21" s="38"/>
      <c r="Z21" s="38"/>
      <c r="AA21" s="38"/>
      <c r="AB21" s="38"/>
      <c r="AC21" s="38"/>
      <c r="AD21" s="38"/>
    </row>
    <row r="22" spans="2:30" ht="15" customHeight="1" x14ac:dyDescent="0.25">
      <c r="B22" s="1090" t="s">
        <v>142</v>
      </c>
      <c r="C22" s="1091"/>
      <c r="D22" s="1091"/>
      <c r="E22" s="1092"/>
      <c r="F22" s="666"/>
      <c r="G22" s="92"/>
      <c r="H22" s="667"/>
      <c r="I22" s="668"/>
      <c r="J22" s="21"/>
      <c r="K22" s="19"/>
      <c r="L22" s="19"/>
      <c r="M22" s="20"/>
      <c r="N22" s="21"/>
      <c r="O22" s="19"/>
      <c r="P22" s="19"/>
      <c r="Q22" s="20"/>
      <c r="R22" s="314"/>
      <c r="S22" s="314"/>
      <c r="T22" s="314"/>
      <c r="U22" s="314"/>
      <c r="V22" s="314"/>
      <c r="W22" s="314"/>
      <c r="X22" s="314"/>
      <c r="Y22" s="38"/>
      <c r="Z22" s="38"/>
      <c r="AA22" s="38"/>
      <c r="AB22" s="38"/>
      <c r="AC22" s="38"/>
      <c r="AD22" s="38"/>
    </row>
    <row r="23" spans="2:30" ht="15" customHeight="1" thickBot="1" x14ac:dyDescent="0.3">
      <c r="B23" s="1093"/>
      <c r="C23" s="1094"/>
      <c r="D23" s="1094"/>
      <c r="E23" s="1095"/>
      <c r="F23" s="669"/>
      <c r="G23" s="670"/>
      <c r="H23" s="990">
        <f>IF(H10&lt;H9*0.25,H17,H21+H19+H9)</f>
        <v>0</v>
      </c>
      <c r="I23" s="991"/>
      <c r="J23" s="23"/>
      <c r="K23" s="236"/>
      <c r="L23" s="980">
        <f>IF(L10&lt;L9*0.25,L17,L21+L19+L9)</f>
        <v>0</v>
      </c>
      <c r="M23" s="981"/>
      <c r="N23" s="23"/>
      <c r="O23" s="236"/>
      <c r="P23" s="980">
        <f>IF(P10&lt;P9*0.25,P17,P21+P19+P9)</f>
        <v>0</v>
      </c>
      <c r="Q23" s="981"/>
      <c r="R23" s="314"/>
      <c r="S23" s="314"/>
      <c r="T23" s="314"/>
      <c r="U23" s="314"/>
      <c r="V23" s="314"/>
      <c r="W23" s="314"/>
      <c r="X23" s="314"/>
      <c r="Y23" s="38"/>
      <c r="Z23" s="38"/>
      <c r="AA23" s="38"/>
      <c r="AB23" s="38"/>
      <c r="AC23" s="38"/>
      <c r="AD23" s="38"/>
    </row>
    <row r="24" spans="2:30" x14ac:dyDescent="0.25">
      <c r="B24" s="24"/>
      <c r="C24" s="24"/>
      <c r="D24" s="24"/>
      <c r="E24" s="24"/>
      <c r="F24" s="22"/>
      <c r="G24" s="22"/>
      <c r="H24" s="22"/>
      <c r="I24" s="22"/>
      <c r="J24" s="22"/>
      <c r="K24" s="22"/>
      <c r="L24" s="22"/>
      <c r="M24" s="22"/>
      <c r="N24" s="22"/>
      <c r="O24" s="22"/>
      <c r="P24" s="22"/>
      <c r="Q24" s="22"/>
      <c r="R24" s="314"/>
      <c r="S24" s="314"/>
      <c r="T24" s="314"/>
      <c r="U24" s="314"/>
      <c r="V24" s="314"/>
      <c r="W24" s="314"/>
      <c r="X24" s="314"/>
      <c r="Y24" s="38"/>
      <c r="Z24" s="38"/>
      <c r="AA24" s="38"/>
      <c r="AB24" s="38"/>
      <c r="AC24" s="38"/>
      <c r="AD24" s="38"/>
    </row>
    <row r="25" spans="2:30" x14ac:dyDescent="0.25">
      <c r="B25" s="8" t="s">
        <v>143</v>
      </c>
      <c r="R25" s="38"/>
      <c r="S25" s="38"/>
      <c r="T25" s="38"/>
      <c r="U25" s="38"/>
      <c r="V25" s="38"/>
      <c r="W25" s="38"/>
      <c r="X25" s="38"/>
      <c r="Y25" s="38"/>
      <c r="Z25" s="38"/>
      <c r="AA25" s="38"/>
      <c r="AB25" s="38"/>
      <c r="AC25" s="38"/>
      <c r="AD25" s="38"/>
    </row>
    <row r="26" spans="2:30" x14ac:dyDescent="0.25">
      <c r="B26" s="8" t="s">
        <v>144</v>
      </c>
      <c r="R26" s="38"/>
      <c r="S26" s="38"/>
      <c r="T26" s="38"/>
      <c r="U26" s="38"/>
      <c r="V26" s="38"/>
      <c r="W26" s="38"/>
      <c r="X26" s="38"/>
      <c r="Y26" s="38"/>
      <c r="Z26" s="38"/>
      <c r="AA26" s="38"/>
      <c r="AB26" s="38"/>
      <c r="AC26" s="38"/>
      <c r="AD26" s="38"/>
    </row>
    <row r="27" spans="2:30" ht="14.55" thickBot="1" x14ac:dyDescent="0.3">
      <c r="B27" s="9"/>
      <c r="G27" s="22"/>
      <c r="H27" s="10"/>
      <c r="I27" s="25"/>
      <c r="J27" s="22"/>
      <c r="K27" s="22"/>
      <c r="L27" s="25"/>
      <c r="M27" s="26"/>
      <c r="N27" s="26"/>
      <c r="O27" s="27"/>
      <c r="R27" s="38"/>
      <c r="S27" s="261"/>
      <c r="T27" s="58"/>
      <c r="U27" s="38"/>
      <c r="V27" s="38"/>
      <c r="W27" s="38"/>
      <c r="X27" s="38"/>
      <c r="Y27" s="38"/>
      <c r="Z27" s="38"/>
      <c r="AA27" s="38"/>
      <c r="AB27" s="38"/>
      <c r="AC27" s="38"/>
      <c r="AD27" s="38"/>
    </row>
    <row r="28" spans="2:30" ht="15" customHeight="1" x14ac:dyDescent="0.25">
      <c r="B28" s="1096" t="s">
        <v>145</v>
      </c>
      <c r="C28" s="1097"/>
      <c r="D28" s="1097"/>
      <c r="E28" s="1098"/>
      <c r="F28" s="1064">
        <v>3</v>
      </c>
      <c r="G28" s="1065"/>
      <c r="H28" s="1065"/>
      <c r="I28" s="1065"/>
      <c r="J28" s="1065"/>
      <c r="K28" s="1065"/>
      <c r="L28" s="1065"/>
      <c r="M28" s="1065"/>
      <c r="N28" s="1065"/>
      <c r="O28" s="1065"/>
      <c r="P28" s="1065"/>
      <c r="Q28" s="1066"/>
      <c r="R28" s="38"/>
      <c r="S28" s="261"/>
      <c r="T28" s="58"/>
      <c r="U28" s="38" t="s">
        <v>146</v>
      </c>
      <c r="V28" s="38">
        <v>1</v>
      </c>
      <c r="W28" s="38"/>
      <c r="X28" s="38"/>
      <c r="Y28" s="38"/>
      <c r="Z28" s="38"/>
      <c r="AA28" s="38"/>
      <c r="AB28" s="38"/>
      <c r="AC28" s="38"/>
      <c r="AD28" s="38"/>
    </row>
    <row r="29" spans="2:30" ht="15.95" customHeight="1" thickBot="1" x14ac:dyDescent="0.3">
      <c r="B29" s="1099" t="s">
        <v>147</v>
      </c>
      <c r="C29" s="1100"/>
      <c r="D29" s="1100"/>
      <c r="E29" s="1101"/>
      <c r="F29" s="1067" t="s">
        <v>148</v>
      </c>
      <c r="G29" s="1068"/>
      <c r="H29" s="1068"/>
      <c r="I29" s="1068"/>
      <c r="J29" s="1068"/>
      <c r="K29" s="1068"/>
      <c r="L29" s="1068"/>
      <c r="M29" s="1068"/>
      <c r="N29" s="1068"/>
      <c r="O29" s="1068"/>
      <c r="P29" s="1068"/>
      <c r="Q29" s="1069"/>
      <c r="R29" s="38"/>
      <c r="S29" s="261"/>
      <c r="T29" s="58"/>
      <c r="U29" s="38"/>
      <c r="V29" s="38">
        <v>2</v>
      </c>
      <c r="W29" s="38"/>
      <c r="X29" s="38"/>
      <c r="Y29" s="38"/>
      <c r="Z29" s="38"/>
      <c r="AA29" s="38"/>
      <c r="AB29" s="38"/>
      <c r="AC29" s="38"/>
      <c r="AD29" s="38"/>
    </row>
    <row r="30" spans="2:30" ht="15.95" customHeight="1" x14ac:dyDescent="0.25">
      <c r="B30" s="28"/>
      <c r="C30" s="28"/>
      <c r="D30" s="28"/>
      <c r="E30" s="28"/>
      <c r="F30" s="988" t="s">
        <v>149</v>
      </c>
      <c r="G30" s="988"/>
      <c r="H30" s="988"/>
      <c r="I30" s="988"/>
      <c r="J30" s="988" t="s">
        <v>150</v>
      </c>
      <c r="K30" s="988"/>
      <c r="L30" s="988"/>
      <c r="M30" s="988"/>
      <c r="N30" s="988" t="s">
        <v>151</v>
      </c>
      <c r="O30" s="988"/>
      <c r="P30" s="988"/>
      <c r="Q30" s="988"/>
      <c r="R30" s="38"/>
      <c r="S30" s="261"/>
      <c r="T30" s="58"/>
      <c r="U30" s="38"/>
      <c r="V30" s="38">
        <v>3</v>
      </c>
      <c r="W30" s="38"/>
      <c r="X30" s="38"/>
      <c r="Y30" s="38"/>
      <c r="Z30" s="38"/>
      <c r="AA30" s="38"/>
      <c r="AB30" s="38"/>
      <c r="AC30" s="38"/>
      <c r="AD30" s="38"/>
    </row>
    <row r="31" spans="2:30" ht="15.95" customHeight="1" thickBot="1" x14ac:dyDescent="0.3">
      <c r="B31" s="28"/>
      <c r="C31" s="28"/>
      <c r="D31" s="28"/>
      <c r="E31" s="28"/>
      <c r="F31" s="989"/>
      <c r="G31" s="989"/>
      <c r="H31" s="989"/>
      <c r="I31" s="989"/>
      <c r="J31" s="989"/>
      <c r="K31" s="989"/>
      <c r="L31" s="989"/>
      <c r="M31" s="989"/>
      <c r="N31" s="989"/>
      <c r="O31" s="989"/>
      <c r="P31" s="989"/>
      <c r="Q31" s="989"/>
      <c r="R31" s="38"/>
      <c r="S31" s="261"/>
      <c r="T31" s="58"/>
      <c r="U31" s="38"/>
      <c r="V31" s="38">
        <v>4</v>
      </c>
      <c r="W31" s="38"/>
      <c r="X31" s="38"/>
      <c r="Y31" s="38"/>
      <c r="Z31" s="38"/>
      <c r="AA31" s="38"/>
      <c r="AB31" s="38"/>
      <c r="AC31" s="38"/>
      <c r="AD31" s="38"/>
    </row>
    <row r="32" spans="2:30" ht="48" customHeight="1" thickBot="1" x14ac:dyDescent="0.3">
      <c r="B32" s="9"/>
      <c r="C32" s="9"/>
      <c r="D32" s="9"/>
      <c r="E32" s="36"/>
      <c r="F32" s="982">
        <f>'Berechnung - Hochbau'!H108</f>
        <v>0</v>
      </c>
      <c r="G32" s="983"/>
      <c r="H32" s="983"/>
      <c r="I32" s="984"/>
      <c r="J32" s="985">
        <f>IF('Berechnung - Hochbau'!J108=0,T8,'Berechnung - Hochbau'!J108)</f>
        <v>0</v>
      </c>
      <c r="K32" s="986"/>
      <c r="L32" s="986"/>
      <c r="M32" s="987"/>
      <c r="N32" s="985" t="str">
        <f>IF('Berechnung - Hochbau'!L108=0,T9,'Berechnung - Hochbau'!L108)</f>
        <v xml:space="preserve">Kostenberechnung liegt noch nicht vor </v>
      </c>
      <c r="O32" s="986"/>
      <c r="P32" s="986"/>
      <c r="Q32" s="987"/>
      <c r="R32" s="58">
        <f>SUM(F32:Q32)</f>
        <v>0</v>
      </c>
      <c r="S32" s="261"/>
      <c r="T32" s="639"/>
      <c r="U32" s="640"/>
      <c r="V32" s="38">
        <v>5</v>
      </c>
      <c r="W32" s="38"/>
      <c r="X32" s="38"/>
      <c r="Y32" s="38"/>
      <c r="Z32" s="38"/>
      <c r="AA32" s="38"/>
      <c r="AB32" s="38"/>
      <c r="AC32" s="38"/>
      <c r="AD32" s="38"/>
    </row>
    <row r="33" spans="1:30" x14ac:dyDescent="0.25">
      <c r="B33" s="9"/>
      <c r="F33" s="35" t="str">
        <f>IF(H23&gt;'Berechnung - Hochbau'!B27,Hochbauplanung!T10,"")</f>
        <v/>
      </c>
      <c r="G33" s="229"/>
      <c r="H33" s="345"/>
      <c r="I33" s="343"/>
      <c r="J33" s="22"/>
      <c r="K33" s="22"/>
      <c r="L33" s="25"/>
      <c r="M33" s="26"/>
      <c r="N33" s="26"/>
      <c r="O33" s="27"/>
      <c r="R33" s="38"/>
      <c r="S33" s="261"/>
      <c r="T33" s="58"/>
      <c r="U33" s="38"/>
      <c r="V33" s="38"/>
      <c r="W33" s="38"/>
      <c r="X33" s="38"/>
      <c r="Y33" s="38"/>
      <c r="Z33" s="38"/>
      <c r="AA33" s="38"/>
      <c r="AB33" s="38"/>
      <c r="AC33" s="38"/>
      <c r="AD33" s="38"/>
    </row>
    <row r="34" spans="1:30" x14ac:dyDescent="0.25">
      <c r="A34" s="358" t="s">
        <v>152</v>
      </c>
      <c r="B34" s="11" t="s">
        <v>153</v>
      </c>
      <c r="C34" s="12"/>
      <c r="D34" s="12"/>
      <c r="E34" s="29"/>
      <c r="F34" s="12"/>
      <c r="G34" s="12"/>
      <c r="H34" s="13"/>
      <c r="I34" s="13"/>
      <c r="R34" s="38"/>
      <c r="S34" s="38"/>
      <c r="T34" s="38"/>
      <c r="U34" s="38"/>
      <c r="V34" s="38"/>
      <c r="W34" s="38"/>
      <c r="X34" s="38"/>
      <c r="Y34" s="38"/>
      <c r="Z34" s="38"/>
      <c r="AA34" s="38"/>
      <c r="AB34" s="38"/>
      <c r="AC34" s="38"/>
      <c r="AD34" s="38"/>
    </row>
    <row r="35" spans="1:30" ht="14.55" thickBot="1" x14ac:dyDescent="0.3">
      <c r="A35" s="358"/>
      <c r="B35" s="12"/>
      <c r="C35" s="12"/>
      <c r="D35" s="12"/>
      <c r="E35" s="29"/>
      <c r="F35" s="12"/>
      <c r="G35" s="12"/>
      <c r="H35" s="30"/>
      <c r="I35" s="30"/>
      <c r="R35" s="38"/>
      <c r="S35" s="109"/>
      <c r="T35" s="109"/>
      <c r="U35" s="109"/>
      <c r="V35" s="38"/>
      <c r="W35" s="38"/>
      <c r="X35" s="38"/>
      <c r="Y35" s="38"/>
      <c r="Z35" s="38"/>
      <c r="AA35" s="38"/>
      <c r="AB35" s="38"/>
      <c r="AC35" s="38"/>
      <c r="AD35" s="38"/>
    </row>
    <row r="36" spans="1:30" ht="15.95" customHeight="1" thickBot="1" x14ac:dyDescent="0.3">
      <c r="A36" s="358"/>
      <c r="B36" s="1003" t="s">
        <v>154</v>
      </c>
      <c r="C36" s="1004"/>
      <c r="D36" s="1004"/>
      <c r="E36" s="1004"/>
      <c r="F36" s="1018" t="str">
        <f>IF(F5="Bitte auswählen!", "-",F5)</f>
        <v>Gebäude</v>
      </c>
      <c r="G36" s="1019"/>
      <c r="H36" s="1019"/>
      <c r="I36" s="1019"/>
      <c r="J36" s="1019"/>
      <c r="K36" s="1019"/>
      <c r="L36" s="1019"/>
      <c r="M36" s="1019"/>
      <c r="N36" s="1019"/>
      <c r="O36" s="1019"/>
      <c r="P36" s="1019"/>
      <c r="Q36" s="1020"/>
      <c r="R36" s="110"/>
      <c r="S36" s="110"/>
      <c r="T36" s="110"/>
      <c r="U36" s="110"/>
      <c r="V36" s="110"/>
      <c r="W36" s="110"/>
      <c r="X36" s="110"/>
      <c r="Y36" s="38"/>
      <c r="Z36" s="38"/>
      <c r="AA36" s="38"/>
      <c r="AB36" s="38"/>
      <c r="AC36" s="38"/>
      <c r="AD36" s="38"/>
    </row>
    <row r="37" spans="1:30" ht="15.95" customHeight="1" x14ac:dyDescent="0.25">
      <c r="A37" s="358"/>
      <c r="B37" s="1045" t="s">
        <v>155</v>
      </c>
      <c r="C37" s="1046"/>
      <c r="D37" s="1046"/>
      <c r="E37" s="1047"/>
      <c r="F37" s="1036"/>
      <c r="G37" s="1037"/>
      <c r="H37" s="1037"/>
      <c r="I37" s="1037"/>
      <c r="J37" s="1037"/>
      <c r="K37" s="1037"/>
      <c r="L37" s="1037"/>
      <c r="M37" s="1037"/>
      <c r="N37" s="1037"/>
      <c r="O37" s="1037"/>
      <c r="P37" s="1037"/>
      <c r="Q37" s="1038"/>
      <c r="R37" s="110"/>
      <c r="S37" s="110"/>
      <c r="T37" s="110"/>
      <c r="U37" s="110"/>
      <c r="V37" s="110"/>
      <c r="W37" s="110"/>
      <c r="X37" s="110"/>
      <c r="Y37" s="38"/>
      <c r="Z37" s="38"/>
      <c r="AA37" s="38"/>
      <c r="AB37" s="38"/>
      <c r="AC37" s="38"/>
      <c r="AD37" s="38"/>
    </row>
    <row r="38" spans="1:30" ht="15.95" customHeight="1" x14ac:dyDescent="0.25">
      <c r="A38" s="358"/>
      <c r="B38" s="1048"/>
      <c r="C38" s="1049"/>
      <c r="D38" s="1049"/>
      <c r="E38" s="1050"/>
      <c r="F38" s="1039"/>
      <c r="G38" s="1040"/>
      <c r="H38" s="1040"/>
      <c r="I38" s="1040"/>
      <c r="J38" s="1040"/>
      <c r="K38" s="1040"/>
      <c r="L38" s="1040"/>
      <c r="M38" s="1040"/>
      <c r="N38" s="1040"/>
      <c r="O38" s="1040"/>
      <c r="P38" s="1040"/>
      <c r="Q38" s="1041"/>
      <c r="R38" s="110"/>
      <c r="S38" s="110"/>
      <c r="T38" s="110"/>
      <c r="U38" s="110"/>
      <c r="V38" s="110"/>
      <c r="W38" s="110"/>
      <c r="X38" s="110"/>
      <c r="Y38" s="38"/>
      <c r="Z38" s="38"/>
      <c r="AA38" s="38"/>
      <c r="AB38" s="38"/>
      <c r="AC38" s="38"/>
      <c r="AD38" s="38"/>
    </row>
    <row r="39" spans="1:30" ht="15.95" customHeight="1" x14ac:dyDescent="0.25">
      <c r="A39" s="358"/>
      <c r="B39" s="1048"/>
      <c r="C39" s="1049"/>
      <c r="D39" s="1049"/>
      <c r="E39" s="1050"/>
      <c r="F39" s="1039"/>
      <c r="G39" s="1040"/>
      <c r="H39" s="1040"/>
      <c r="I39" s="1040"/>
      <c r="J39" s="1040"/>
      <c r="K39" s="1040"/>
      <c r="L39" s="1040"/>
      <c r="M39" s="1040"/>
      <c r="N39" s="1040"/>
      <c r="O39" s="1040"/>
      <c r="P39" s="1040"/>
      <c r="Q39" s="1041"/>
      <c r="R39" s="110"/>
      <c r="S39" s="110"/>
      <c r="T39" s="110"/>
      <c r="U39" s="110"/>
      <c r="V39" s="110"/>
      <c r="W39" s="110"/>
      <c r="X39" s="110"/>
      <c r="Y39" s="38"/>
      <c r="Z39" s="38"/>
      <c r="AA39" s="38"/>
      <c r="AB39" s="38"/>
      <c r="AC39" s="38"/>
      <c r="AD39" s="38"/>
    </row>
    <row r="40" spans="1:30" ht="15.95" customHeight="1" x14ac:dyDescent="0.25">
      <c r="A40" s="358"/>
      <c r="B40" s="1048"/>
      <c r="C40" s="1049"/>
      <c r="D40" s="1049"/>
      <c r="E40" s="1050"/>
      <c r="F40" s="1039"/>
      <c r="G40" s="1040"/>
      <c r="H40" s="1040"/>
      <c r="I40" s="1040"/>
      <c r="J40" s="1040"/>
      <c r="K40" s="1040"/>
      <c r="L40" s="1040"/>
      <c r="M40" s="1040"/>
      <c r="N40" s="1040"/>
      <c r="O40" s="1040"/>
      <c r="P40" s="1040"/>
      <c r="Q40" s="1041"/>
      <c r="R40" s="110"/>
      <c r="S40" s="110"/>
      <c r="T40" s="110"/>
      <c r="U40" s="110"/>
      <c r="V40" s="110"/>
      <c r="W40" s="110"/>
      <c r="X40" s="110"/>
      <c r="Y40" s="38"/>
      <c r="Z40" s="38"/>
      <c r="AA40" s="38"/>
      <c r="AB40" s="38"/>
      <c r="AC40" s="38"/>
      <c r="AD40" s="38"/>
    </row>
    <row r="41" spans="1:30" ht="15.95" customHeight="1" x14ac:dyDescent="0.25">
      <c r="A41" s="358"/>
      <c r="B41" s="1048"/>
      <c r="C41" s="1049"/>
      <c r="D41" s="1049"/>
      <c r="E41" s="1050"/>
      <c r="F41" s="1039"/>
      <c r="G41" s="1040"/>
      <c r="H41" s="1040"/>
      <c r="I41" s="1040"/>
      <c r="J41" s="1040"/>
      <c r="K41" s="1040"/>
      <c r="L41" s="1040"/>
      <c r="M41" s="1040"/>
      <c r="N41" s="1040"/>
      <c r="O41" s="1040"/>
      <c r="P41" s="1040"/>
      <c r="Q41" s="1041"/>
      <c r="R41" s="110"/>
      <c r="S41" s="110"/>
      <c r="T41" s="110"/>
      <c r="U41" s="110"/>
      <c r="V41" s="110"/>
      <c r="W41" s="110"/>
      <c r="X41" s="110"/>
      <c r="Y41" s="38"/>
      <c r="Z41" s="38"/>
      <c r="AA41" s="38"/>
      <c r="AB41" s="38"/>
      <c r="AC41" s="38"/>
      <c r="AD41" s="38"/>
    </row>
    <row r="42" spans="1:30" ht="15.95" customHeight="1" thickBot="1" x14ac:dyDescent="0.3">
      <c r="A42" s="358"/>
      <c r="B42" s="1051"/>
      <c r="C42" s="1052"/>
      <c r="D42" s="1052"/>
      <c r="E42" s="1053"/>
      <c r="F42" s="1042"/>
      <c r="G42" s="1043"/>
      <c r="H42" s="1043"/>
      <c r="I42" s="1043"/>
      <c r="J42" s="1043"/>
      <c r="K42" s="1043"/>
      <c r="L42" s="1043"/>
      <c r="M42" s="1043"/>
      <c r="N42" s="1043"/>
      <c r="O42" s="1043"/>
      <c r="P42" s="1043"/>
      <c r="Q42" s="1044"/>
      <c r="R42" s="350">
        <f>IF(AND(R9&gt;0,F37=""),1,0)</f>
        <v>0</v>
      </c>
      <c r="S42" s="110"/>
      <c r="T42" s="110"/>
      <c r="U42" s="110"/>
      <c r="V42" s="110"/>
      <c r="W42" s="110"/>
      <c r="X42" s="110"/>
      <c r="Y42" s="38"/>
      <c r="Z42" s="38"/>
      <c r="AA42" s="38"/>
      <c r="AB42" s="38"/>
      <c r="AC42" s="38"/>
      <c r="AD42" s="38"/>
    </row>
    <row r="43" spans="1:30" x14ac:dyDescent="0.25">
      <c r="B43" s="9"/>
      <c r="G43" s="22"/>
      <c r="H43" s="10"/>
      <c r="I43" s="25"/>
      <c r="J43" s="22"/>
      <c r="K43" s="22"/>
      <c r="L43" s="25"/>
      <c r="M43" s="26"/>
      <c r="N43" s="26"/>
      <c r="O43" s="27"/>
      <c r="R43" s="38"/>
      <c r="S43" s="261"/>
      <c r="T43" s="58"/>
      <c r="U43" s="38"/>
      <c r="V43" s="38"/>
      <c r="W43" s="38"/>
      <c r="X43" s="38"/>
      <c r="Y43" s="38"/>
      <c r="Z43" s="38"/>
      <c r="AA43" s="38"/>
      <c r="AB43" s="38"/>
      <c r="AC43" s="38"/>
      <c r="AD43" s="38"/>
    </row>
    <row r="44" spans="1:30" x14ac:dyDescent="0.25">
      <c r="B44" s="8" t="s">
        <v>156</v>
      </c>
      <c r="G44" s="22"/>
      <c r="H44" s="10"/>
      <c r="I44" s="25"/>
      <c r="J44" s="22"/>
      <c r="K44" s="22"/>
      <c r="L44" s="25"/>
      <c r="M44" s="26"/>
      <c r="N44" s="26"/>
      <c r="O44" s="27"/>
      <c r="Q44" s="83"/>
      <c r="R44" s="38"/>
      <c r="S44" s="261"/>
      <c r="T44" s="58"/>
      <c r="U44" s="38"/>
      <c r="V44" s="38"/>
      <c r="W44" s="38"/>
      <c r="X44" s="38"/>
      <c r="Y44" s="38"/>
      <c r="Z44" s="38"/>
      <c r="AA44" s="38"/>
      <c r="AB44" s="38"/>
      <c r="AC44" s="38"/>
      <c r="AD44" s="38"/>
    </row>
    <row r="45" spans="1:30" x14ac:dyDescent="0.25">
      <c r="B45" s="9"/>
      <c r="G45" s="22"/>
      <c r="H45" s="10"/>
      <c r="I45" s="25"/>
      <c r="J45" s="22"/>
      <c r="K45" s="22"/>
      <c r="L45" s="25"/>
      <c r="M45" s="26"/>
      <c r="N45" s="26"/>
      <c r="O45" s="27"/>
      <c r="Q45" s="83"/>
      <c r="R45" s="38"/>
      <c r="S45" s="261"/>
      <c r="T45" s="58"/>
      <c r="U45" s="38"/>
      <c r="V45" s="38"/>
      <c r="W45" s="38"/>
      <c r="X45" s="38"/>
      <c r="Y45" s="38"/>
      <c r="Z45" s="38"/>
      <c r="AA45" s="38"/>
      <c r="AB45" s="38"/>
      <c r="AC45" s="38"/>
      <c r="AD45" s="38"/>
    </row>
    <row r="46" spans="1:30" x14ac:dyDescent="0.25">
      <c r="A46" s="357" t="s">
        <v>157</v>
      </c>
      <c r="B46" s="9" t="s">
        <v>158</v>
      </c>
      <c r="Q46" s="83"/>
      <c r="R46" s="38"/>
      <c r="S46" s="38"/>
      <c r="T46" s="38"/>
      <c r="U46" s="38"/>
      <c r="V46" s="38"/>
      <c r="W46" s="38"/>
      <c r="X46" s="38"/>
      <c r="Y46" s="38"/>
      <c r="Z46" s="38"/>
      <c r="AA46" s="38"/>
      <c r="AB46" s="38"/>
      <c r="AC46" s="38"/>
      <c r="AD46" s="38"/>
    </row>
    <row r="47" spans="1:30" x14ac:dyDescent="0.25">
      <c r="B47" s="9"/>
      <c r="Q47" s="83"/>
      <c r="R47" s="38"/>
      <c r="S47" s="38"/>
      <c r="T47" s="38"/>
      <c r="U47" s="38"/>
      <c r="V47" s="38"/>
      <c r="W47" s="38"/>
      <c r="X47" s="38"/>
      <c r="Y47" s="38"/>
      <c r="Z47" s="38"/>
      <c r="AA47" s="38"/>
      <c r="AB47" s="38"/>
      <c r="AC47" s="38"/>
      <c r="AD47" s="38"/>
    </row>
    <row r="48" spans="1:30" ht="15.95" customHeight="1" x14ac:dyDescent="0.25">
      <c r="B48" s="8" t="s">
        <v>159</v>
      </c>
      <c r="Q48" s="83"/>
      <c r="R48" s="38"/>
      <c r="S48" s="38"/>
      <c r="T48" s="38"/>
      <c r="U48" s="38" t="s">
        <v>126</v>
      </c>
      <c r="V48" s="38" t="s">
        <v>107</v>
      </c>
      <c r="W48" s="38"/>
      <c r="X48" s="38"/>
      <c r="Y48" s="38"/>
      <c r="Z48" s="38"/>
      <c r="AA48" s="38"/>
      <c r="AB48" s="38"/>
      <c r="AC48" s="38"/>
      <c r="AD48" s="38"/>
    </row>
    <row r="49" spans="1:30" ht="15.95" customHeight="1" x14ac:dyDescent="0.25">
      <c r="B49" s="8" t="s">
        <v>160</v>
      </c>
      <c r="Q49" s="83"/>
      <c r="R49" s="38"/>
      <c r="S49" s="38"/>
      <c r="T49" s="38"/>
      <c r="U49" s="38"/>
      <c r="V49" s="38" t="s">
        <v>106</v>
      </c>
      <c r="W49" s="38"/>
      <c r="X49" s="38"/>
      <c r="Y49" s="38"/>
      <c r="Z49" s="38"/>
      <c r="AA49" s="38" t="s">
        <v>161</v>
      </c>
      <c r="AB49" s="38"/>
      <c r="AC49" s="38"/>
      <c r="AD49" s="38"/>
    </row>
    <row r="50" spans="1:30" ht="15.95" customHeight="1" x14ac:dyDescent="0.25">
      <c r="B50" s="8" t="str">
        <f>IF(B1=V2,"","Die besonderen Leistungen sind in den orange markierten Feldern zu bepreisen. ")</f>
        <v xml:space="preserve">Die besonderen Leistungen sind in den orange markierten Feldern zu bepreisen. </v>
      </c>
      <c r="Q50" s="83"/>
      <c r="R50" s="38"/>
      <c r="S50" s="38"/>
      <c r="T50" s="38"/>
      <c r="U50" s="38"/>
      <c r="V50" s="38"/>
      <c r="W50" s="38"/>
      <c r="X50" s="38"/>
      <c r="Y50" s="38"/>
      <c r="Z50" s="38"/>
      <c r="AA50" s="38"/>
      <c r="AB50" s="38"/>
      <c r="AC50" s="38"/>
      <c r="AD50" s="38"/>
    </row>
    <row r="51" spans="1:30" ht="15.95" customHeight="1" thickBot="1" x14ac:dyDescent="0.3">
      <c r="Q51" s="83"/>
      <c r="R51" s="38"/>
      <c r="S51" s="38"/>
      <c r="T51" s="38"/>
      <c r="U51" s="38"/>
      <c r="V51" s="38"/>
      <c r="W51" s="38"/>
      <c r="X51" s="38"/>
      <c r="Y51" s="38"/>
      <c r="Z51" s="38"/>
      <c r="AA51" s="38"/>
      <c r="AB51" s="38"/>
      <c r="AC51" s="38"/>
      <c r="AD51" s="38"/>
    </row>
    <row r="52" spans="1:30" ht="15.95" customHeight="1" x14ac:dyDescent="0.25">
      <c r="I52" s="1070" t="str">
        <f>F5</f>
        <v>Gebäude</v>
      </c>
      <c r="J52" s="1071"/>
      <c r="K52" s="1072"/>
      <c r="L52" s="89"/>
      <c r="Q52" s="83"/>
      <c r="R52" s="38"/>
      <c r="S52" s="39"/>
      <c r="T52" s="39"/>
      <c r="U52" s="39"/>
      <c r="V52" s="38"/>
      <c r="W52" s="38"/>
      <c r="X52" s="38"/>
      <c r="Y52" s="38"/>
      <c r="Z52" s="38"/>
      <c r="AA52" s="38"/>
      <c r="AB52" s="38"/>
      <c r="AC52" s="38"/>
      <c r="AD52" s="38"/>
    </row>
    <row r="53" spans="1:30" ht="15.95" customHeight="1" thickBot="1" x14ac:dyDescent="0.3">
      <c r="I53" s="1073"/>
      <c r="J53" s="1074"/>
      <c r="K53" s="1075"/>
      <c r="L53" s="89"/>
      <c r="M53" s="37"/>
      <c r="N53" s="37"/>
      <c r="O53" s="37"/>
      <c r="P53" s="37"/>
      <c r="Q53" s="302"/>
      <c r="R53" s="253"/>
      <c r="S53" s="39"/>
      <c r="T53" s="39"/>
      <c r="U53" s="39"/>
      <c r="V53" s="38"/>
      <c r="W53" s="38"/>
      <c r="X53" s="38"/>
      <c r="Y53" s="38"/>
      <c r="Z53" s="38"/>
      <c r="AA53" s="38"/>
      <c r="AB53" s="38"/>
      <c r="AC53" s="38"/>
      <c r="AD53" s="38"/>
    </row>
    <row r="54" spans="1:30" ht="15.95" customHeight="1" x14ac:dyDescent="0.25">
      <c r="A54" s="762" t="s">
        <v>162</v>
      </c>
      <c r="B54" s="1021" t="s">
        <v>163</v>
      </c>
      <c r="C54" s="1022"/>
      <c r="D54" s="1022"/>
      <c r="E54" s="1022"/>
      <c r="F54" s="1022"/>
      <c r="G54" s="1022"/>
      <c r="H54" s="1027" t="s">
        <v>164</v>
      </c>
      <c r="I54" s="1030" t="s">
        <v>165</v>
      </c>
      <c r="J54" s="1076" t="s">
        <v>166</v>
      </c>
      <c r="K54" s="1077"/>
      <c r="L54" s="90"/>
      <c r="M54" s="75"/>
      <c r="N54" s="75"/>
      <c r="O54" s="75"/>
      <c r="P54" s="37"/>
      <c r="Q54" s="302"/>
      <c r="R54" s="255"/>
      <c r="S54" s="78"/>
      <c r="T54" s="78"/>
      <c r="U54" s="78"/>
      <c r="V54" s="38"/>
      <c r="W54" s="38"/>
      <c r="X54" s="38"/>
      <c r="Y54" s="38"/>
      <c r="Z54" s="38"/>
      <c r="AA54" s="38"/>
      <c r="AB54" s="38"/>
      <c r="AC54" s="38"/>
      <c r="AD54" s="38"/>
    </row>
    <row r="55" spans="1:30" ht="15.95" customHeight="1" x14ac:dyDescent="0.25">
      <c r="A55" s="763"/>
      <c r="B55" s="1023"/>
      <c r="C55" s="1024"/>
      <c r="D55" s="1024"/>
      <c r="E55" s="1024"/>
      <c r="F55" s="1024"/>
      <c r="G55" s="1024"/>
      <c r="H55" s="1028"/>
      <c r="I55" s="1031"/>
      <c r="J55" s="1078"/>
      <c r="K55" s="1079"/>
      <c r="L55" s="90"/>
      <c r="M55" s="75"/>
      <c r="N55" s="75"/>
      <c r="O55" s="75"/>
      <c r="P55" s="37"/>
      <c r="Q55" s="302"/>
      <c r="R55" s="255"/>
      <c r="S55" s="78"/>
      <c r="T55" s="78"/>
      <c r="U55" s="79"/>
      <c r="V55" s="38"/>
      <c r="W55" s="38"/>
      <c r="X55" s="38"/>
      <c r="Y55" s="38"/>
      <c r="Z55" s="38"/>
      <c r="AA55" s="38"/>
      <c r="AB55" s="38"/>
      <c r="AC55" s="38"/>
      <c r="AD55" s="38"/>
    </row>
    <row r="56" spans="1:30" ht="15" customHeight="1" thickBot="1" x14ac:dyDescent="0.3">
      <c r="A56" s="763"/>
      <c r="B56" s="1025"/>
      <c r="C56" s="1026"/>
      <c r="D56" s="1026"/>
      <c r="E56" s="1026"/>
      <c r="F56" s="1026"/>
      <c r="G56" s="1026"/>
      <c r="H56" s="1029"/>
      <c r="I56" s="1032"/>
      <c r="J56" s="1080"/>
      <c r="K56" s="1081"/>
      <c r="L56" s="91"/>
      <c r="M56" s="76"/>
      <c r="N56" s="76"/>
      <c r="O56" s="76"/>
      <c r="P56" s="77"/>
      <c r="Q56" s="77"/>
      <c r="R56" s="616"/>
      <c r="S56" s="78"/>
      <c r="T56" s="78"/>
      <c r="U56" s="79"/>
      <c r="V56" s="38"/>
      <c r="W56" s="38"/>
      <c r="X56" s="38"/>
      <c r="Y56" s="38"/>
      <c r="Z56" s="38"/>
      <c r="AA56" s="38"/>
      <c r="AB56" s="38"/>
      <c r="AC56" s="38"/>
      <c r="AD56" s="38"/>
    </row>
    <row r="57" spans="1:30" ht="15" customHeight="1" thickBot="1" x14ac:dyDescent="0.3">
      <c r="A57" s="763"/>
      <c r="B57" s="1055" t="s">
        <v>167</v>
      </c>
      <c r="C57" s="1056"/>
      <c r="D57" s="1056"/>
      <c r="E57" s="1056"/>
      <c r="F57" s="1056"/>
      <c r="G57" s="1056"/>
      <c r="H57" s="1061"/>
      <c r="I57" s="860">
        <f>F32</f>
        <v>0</v>
      </c>
      <c r="J57" s="861"/>
      <c r="K57" s="862"/>
      <c r="L57" s="1082" t="s">
        <v>168</v>
      </c>
      <c r="M57" s="1083"/>
      <c r="N57" s="1083"/>
      <c r="O57" s="1083"/>
      <c r="P57" s="1083"/>
      <c r="Q57" s="1027" t="s">
        <v>164</v>
      </c>
      <c r="R57" s="922" t="str">
        <f>IF(B1=V2,"Honorar für die Besonderen Leistungen","Honorarangebot für die Besonderen Leistungen")</f>
        <v>Honorarangebot für die Besonderen Leistungen</v>
      </c>
      <c r="S57" s="923"/>
      <c r="T57" s="916" t="s">
        <v>169</v>
      </c>
      <c r="U57" s="855" t="s">
        <v>170</v>
      </c>
      <c r="V57" s="112"/>
      <c r="W57" s="38"/>
      <c r="X57" s="38"/>
      <c r="Y57" s="38"/>
      <c r="Z57" s="38"/>
      <c r="AA57" s="38"/>
      <c r="AB57" s="38"/>
      <c r="AC57" s="38"/>
      <c r="AD57" s="38"/>
    </row>
    <row r="58" spans="1:30" ht="15" customHeight="1" thickBot="1" x14ac:dyDescent="0.3">
      <c r="A58" s="763"/>
      <c r="B58" s="1057"/>
      <c r="C58" s="1058"/>
      <c r="D58" s="1058"/>
      <c r="E58" s="1058"/>
      <c r="F58" s="1058"/>
      <c r="G58" s="1058"/>
      <c r="H58" s="1062"/>
      <c r="I58" s="863"/>
      <c r="J58" s="864"/>
      <c r="K58" s="865"/>
      <c r="L58" s="1084"/>
      <c r="M58" s="1085"/>
      <c r="N58" s="1085"/>
      <c r="O58" s="1085"/>
      <c r="P58" s="1085"/>
      <c r="Q58" s="1028"/>
      <c r="R58" s="924"/>
      <c r="S58" s="925"/>
      <c r="T58" s="917"/>
      <c r="U58" s="855"/>
      <c r="V58" s="112"/>
      <c r="W58" s="38"/>
      <c r="X58" s="38"/>
      <c r="Y58" s="38"/>
      <c r="Z58" s="38"/>
      <c r="AA58" s="38"/>
      <c r="AB58" s="38"/>
      <c r="AC58" s="38"/>
      <c r="AD58" s="38"/>
    </row>
    <row r="59" spans="1:30" ht="15.95" customHeight="1" thickBot="1" x14ac:dyDescent="0.3">
      <c r="A59" s="763"/>
      <c r="B59" s="1059"/>
      <c r="C59" s="1060"/>
      <c r="D59" s="1060"/>
      <c r="E59" s="1060"/>
      <c r="F59" s="1060"/>
      <c r="G59" s="1060"/>
      <c r="H59" s="1063"/>
      <c r="I59" s="866"/>
      <c r="J59" s="867"/>
      <c r="K59" s="868"/>
      <c r="L59" s="1086"/>
      <c r="M59" s="1087"/>
      <c r="N59" s="1087"/>
      <c r="O59" s="1087"/>
      <c r="P59" s="1087"/>
      <c r="Q59" s="1029"/>
      <c r="R59" s="926"/>
      <c r="S59" s="927"/>
      <c r="T59" s="918"/>
      <c r="U59" s="855"/>
      <c r="V59" s="95" t="s">
        <v>171</v>
      </c>
      <c r="W59" s="38"/>
      <c r="X59" s="38"/>
      <c r="Y59" s="38"/>
      <c r="Z59" s="38"/>
      <c r="AA59" s="38"/>
      <c r="AB59" s="38"/>
      <c r="AC59" s="38"/>
      <c r="AD59" s="1139" t="s">
        <v>172</v>
      </c>
    </row>
    <row r="60" spans="1:30" ht="15.95" customHeight="1" thickBot="1" x14ac:dyDescent="0.3">
      <c r="A60" s="763"/>
      <c r="B60" s="790" t="s">
        <v>173</v>
      </c>
      <c r="C60" s="791"/>
      <c r="D60" s="791"/>
      <c r="E60" s="791"/>
      <c r="F60" s="791"/>
      <c r="G60" s="792"/>
      <c r="H60" s="167"/>
      <c r="I60" s="869"/>
      <c r="J60" s="870"/>
      <c r="K60" s="870"/>
      <c r="L60" s="824"/>
      <c r="M60" s="825"/>
      <c r="N60" s="825"/>
      <c r="O60" s="825"/>
      <c r="P60" s="826"/>
      <c r="Q60" s="131"/>
      <c r="R60" s="827"/>
      <c r="S60" s="828"/>
      <c r="T60" s="621"/>
      <c r="U60" s="620"/>
      <c r="V60" s="38"/>
      <c r="W60" s="38">
        <f>IF(AND(B57=T17,I60=""),1,0)</f>
        <v>0</v>
      </c>
      <c r="X60" s="38">
        <f>G76</f>
        <v>3</v>
      </c>
      <c r="Y60" s="38"/>
      <c r="Z60" s="38"/>
      <c r="AA60" s="38"/>
      <c r="AB60" s="38"/>
      <c r="AC60" s="38"/>
      <c r="AD60" s="1139"/>
    </row>
    <row r="61" spans="1:30" ht="14.25" customHeight="1" thickBot="1" x14ac:dyDescent="0.3">
      <c r="A61" s="763"/>
      <c r="B61" s="1088" t="s">
        <v>174</v>
      </c>
      <c r="C61" s="1089"/>
      <c r="D61" s="1089"/>
      <c r="E61" s="1089"/>
      <c r="F61" s="1089"/>
      <c r="G61" s="1089"/>
      <c r="H61" s="1033" t="s">
        <v>106</v>
      </c>
      <c r="I61" s="873">
        <f>IF(I52="Gebäude",W75,X75)</f>
        <v>1.6500000000000001E-2</v>
      </c>
      <c r="J61" s="1123">
        <f>$I$57*I61</f>
        <v>0</v>
      </c>
      <c r="K61" s="1124"/>
      <c r="L61" s="871" t="s">
        <v>175</v>
      </c>
      <c r="M61" s="872"/>
      <c r="N61" s="872"/>
      <c r="O61" s="872"/>
      <c r="P61" s="872"/>
      <c r="Q61" s="246" t="s">
        <v>106</v>
      </c>
      <c r="R61" s="803"/>
      <c r="S61" s="804"/>
      <c r="T61" s="857" t="str">
        <f>IFERROR(IF((VLOOKUP(U61,Überblick!$M$124:$N$132,2))="ja","ja","nein"),"")</f>
        <v>ja</v>
      </c>
      <c r="U61" s="835">
        <v>1</v>
      </c>
      <c r="V61" s="38">
        <f>IF(AND($Q$61="ja",$R$61=""),1,0)</f>
        <v>1</v>
      </c>
      <c r="W61" s="40">
        <f>IF(H61="ja",Z61,0)</f>
        <v>7.4999999999999997E-3</v>
      </c>
      <c r="X61" s="40">
        <f>IF(H61="ja",AA61,0)</f>
        <v>7.4999999999999997E-3</v>
      </c>
      <c r="Y61" s="38" t="s">
        <v>176</v>
      </c>
      <c r="Z61" s="43">
        <v>7.4999999999999997E-3</v>
      </c>
      <c r="AA61" s="43">
        <v>7.4999999999999997E-3</v>
      </c>
      <c r="AB61" s="38"/>
      <c r="AC61" s="38">
        <f>IF(Q61="ja",1,0)</f>
        <v>1</v>
      </c>
      <c r="AD61" s="38">
        <f>IF(AND(I61+SUM(V61:V75)&gt;0,U61=""),1,0)</f>
        <v>0</v>
      </c>
    </row>
    <row r="62" spans="1:30" ht="15" customHeight="1" thickBot="1" x14ac:dyDescent="0.3">
      <c r="A62" s="763"/>
      <c r="B62" s="779"/>
      <c r="C62" s="780"/>
      <c r="D62" s="780"/>
      <c r="E62" s="780"/>
      <c r="F62" s="780"/>
      <c r="G62" s="780"/>
      <c r="H62" s="915"/>
      <c r="I62" s="874"/>
      <c r="J62" s="1125"/>
      <c r="K62" s="1126"/>
      <c r="L62" s="807"/>
      <c r="M62" s="808"/>
      <c r="N62" s="808"/>
      <c r="O62" s="808"/>
      <c r="P62" s="808"/>
      <c r="Q62" s="641"/>
      <c r="R62" s="805"/>
      <c r="S62" s="806"/>
      <c r="T62" s="858"/>
      <c r="U62" s="835"/>
      <c r="V62" s="38">
        <f>IF(AND($Q$62="ja",$R$62=""),1,0)</f>
        <v>0</v>
      </c>
      <c r="W62" s="40"/>
      <c r="X62" s="40"/>
      <c r="Y62" s="38"/>
      <c r="Z62" s="38"/>
      <c r="AA62" s="38"/>
      <c r="AB62" s="38"/>
      <c r="AC62" s="38">
        <f t="shared" ref="AC62:AC125" si="0">IF(Q62="ja",1,0)</f>
        <v>0</v>
      </c>
      <c r="AD62" s="38"/>
    </row>
    <row r="63" spans="1:30" ht="14.25" customHeight="1" thickBot="1" x14ac:dyDescent="0.3">
      <c r="A63" s="763"/>
      <c r="B63" s="779"/>
      <c r="C63" s="780"/>
      <c r="D63" s="780"/>
      <c r="E63" s="780"/>
      <c r="F63" s="780"/>
      <c r="G63" s="780"/>
      <c r="H63" s="915"/>
      <c r="I63" s="874"/>
      <c r="J63" s="1125"/>
      <c r="K63" s="1126"/>
      <c r="L63" s="807"/>
      <c r="M63" s="808"/>
      <c r="N63" s="808"/>
      <c r="O63" s="808"/>
      <c r="P63" s="808"/>
      <c r="Q63" s="641"/>
      <c r="R63" s="805"/>
      <c r="S63" s="806"/>
      <c r="T63" s="858"/>
      <c r="U63" s="835"/>
      <c r="V63" s="38">
        <f>IF(AND($Q$63="ja",R63=""),1,0)</f>
        <v>0</v>
      </c>
      <c r="W63" s="40">
        <f>IF(H64="ja",Z63,0)</f>
        <v>0</v>
      </c>
      <c r="X63" s="40">
        <f>IF(H64="ja",AA63,0)</f>
        <v>0</v>
      </c>
      <c r="Y63" s="38" t="s">
        <v>177</v>
      </c>
      <c r="Z63" s="43">
        <v>1E-3</v>
      </c>
      <c r="AA63" s="43">
        <v>1E-3</v>
      </c>
      <c r="AB63" s="38"/>
      <c r="AC63" s="38">
        <f t="shared" si="0"/>
        <v>0</v>
      </c>
      <c r="AD63" s="38"/>
    </row>
    <row r="64" spans="1:30" ht="13.6" customHeight="1" thickBot="1" x14ac:dyDescent="0.3">
      <c r="A64" s="763"/>
      <c r="B64" s="779" t="s">
        <v>178</v>
      </c>
      <c r="C64" s="780"/>
      <c r="D64" s="780"/>
      <c r="E64" s="780"/>
      <c r="F64" s="780"/>
      <c r="G64" s="780"/>
      <c r="H64" s="915" t="s">
        <v>107</v>
      </c>
      <c r="I64" s="874"/>
      <c r="J64" s="1125"/>
      <c r="K64" s="1126"/>
      <c r="L64" s="807"/>
      <c r="M64" s="808"/>
      <c r="N64" s="808"/>
      <c r="O64" s="808"/>
      <c r="P64" s="808"/>
      <c r="Q64" s="641"/>
      <c r="R64" s="829"/>
      <c r="S64" s="830"/>
      <c r="T64" s="858"/>
      <c r="U64" s="835"/>
      <c r="V64" s="38">
        <f>IF(AND($Q$64="ja",R64=""),1,0)</f>
        <v>0</v>
      </c>
      <c r="W64" s="40">
        <f>IF(H66="ja",Z64,0)</f>
        <v>7.4999999999999997E-3</v>
      </c>
      <c r="X64" s="40">
        <f>IF(H66="ja",AA64,0)</f>
        <v>7.4999999999999997E-3</v>
      </c>
      <c r="Y64" s="38" t="s">
        <v>179</v>
      </c>
      <c r="Z64" s="43">
        <v>7.4999999999999997E-3</v>
      </c>
      <c r="AA64" s="43">
        <v>7.4999999999999997E-3</v>
      </c>
      <c r="AB64" s="38"/>
      <c r="AC64" s="38">
        <f t="shared" si="0"/>
        <v>0</v>
      </c>
      <c r="AD64" s="38"/>
    </row>
    <row r="65" spans="1:30" ht="15.95" customHeight="1" thickBot="1" x14ac:dyDescent="0.3">
      <c r="A65" s="763"/>
      <c r="B65" s="779"/>
      <c r="C65" s="780"/>
      <c r="D65" s="780"/>
      <c r="E65" s="780"/>
      <c r="F65" s="780"/>
      <c r="G65" s="780"/>
      <c r="H65" s="915"/>
      <c r="I65" s="874"/>
      <c r="J65" s="1125"/>
      <c r="K65" s="1126"/>
      <c r="L65" s="807"/>
      <c r="M65" s="808"/>
      <c r="N65" s="808"/>
      <c r="O65" s="808"/>
      <c r="P65" s="808"/>
      <c r="Q65" s="641"/>
      <c r="R65" s="829"/>
      <c r="S65" s="830"/>
      <c r="T65" s="858"/>
      <c r="U65" s="835"/>
      <c r="V65" s="38">
        <f t="shared" ref="V65:V70" si="1">IF(AND(Q65="ja",R65=""),1,0)</f>
        <v>0</v>
      </c>
      <c r="W65" s="40"/>
      <c r="X65" s="40"/>
      <c r="Y65" s="38"/>
      <c r="Z65" s="38"/>
      <c r="AA65" s="38"/>
      <c r="AB65" s="38"/>
      <c r="AC65" s="38">
        <f t="shared" si="0"/>
        <v>0</v>
      </c>
      <c r="AD65" s="38"/>
    </row>
    <row r="66" spans="1:30" ht="13.6" customHeight="1" thickBot="1" x14ac:dyDescent="0.3">
      <c r="A66" s="763"/>
      <c r="B66" s="779" t="s">
        <v>180</v>
      </c>
      <c r="C66" s="780"/>
      <c r="D66" s="780"/>
      <c r="E66" s="780"/>
      <c r="F66" s="780"/>
      <c r="G66" s="780"/>
      <c r="H66" s="915" t="s">
        <v>106</v>
      </c>
      <c r="I66" s="874"/>
      <c r="J66" s="1125"/>
      <c r="K66" s="1126"/>
      <c r="L66" s="807"/>
      <c r="M66" s="808"/>
      <c r="N66" s="808"/>
      <c r="O66" s="808"/>
      <c r="P66" s="808"/>
      <c r="Q66" s="641"/>
      <c r="R66" s="829"/>
      <c r="S66" s="830"/>
      <c r="T66" s="858"/>
      <c r="U66" s="835"/>
      <c r="V66" s="38">
        <f t="shared" si="1"/>
        <v>0</v>
      </c>
      <c r="W66" s="40">
        <f>IF(H69="ja",Z66,0)</f>
        <v>0</v>
      </c>
      <c r="X66" s="40">
        <f>IF(H69="ja",AA66,0)</f>
        <v>0</v>
      </c>
      <c r="Y66" s="38" t="s">
        <v>181</v>
      </c>
      <c r="Z66" s="43">
        <v>2.5000000000000001E-3</v>
      </c>
      <c r="AA66" s="43">
        <v>2.5000000000000001E-3</v>
      </c>
      <c r="AB66" s="38"/>
      <c r="AC66" s="38">
        <f t="shared" si="0"/>
        <v>0</v>
      </c>
      <c r="AD66" s="38"/>
    </row>
    <row r="67" spans="1:30" ht="15" customHeight="1" thickBot="1" x14ac:dyDescent="0.3">
      <c r="A67" s="763"/>
      <c r="B67" s="779"/>
      <c r="C67" s="780"/>
      <c r="D67" s="780"/>
      <c r="E67" s="780"/>
      <c r="F67" s="780"/>
      <c r="G67" s="780"/>
      <c r="H67" s="915"/>
      <c r="I67" s="874"/>
      <c r="J67" s="1125"/>
      <c r="K67" s="1126"/>
      <c r="L67" s="807"/>
      <c r="M67" s="808"/>
      <c r="N67" s="808"/>
      <c r="O67" s="808"/>
      <c r="P67" s="808"/>
      <c r="Q67" s="641"/>
      <c r="R67" s="829"/>
      <c r="S67" s="830"/>
      <c r="T67" s="858"/>
      <c r="U67" s="835"/>
      <c r="V67" s="38">
        <f t="shared" si="1"/>
        <v>0</v>
      </c>
      <c r="W67" s="40"/>
      <c r="X67" s="40"/>
      <c r="Y67" s="38"/>
      <c r="Z67" s="38"/>
      <c r="AA67" s="38"/>
      <c r="AB67" s="38"/>
      <c r="AC67" s="38">
        <f t="shared" si="0"/>
        <v>0</v>
      </c>
      <c r="AD67" s="38"/>
    </row>
    <row r="68" spans="1:30" ht="13.6" customHeight="1" thickBot="1" x14ac:dyDescent="0.3">
      <c r="A68" s="763"/>
      <c r="B68" s="779"/>
      <c r="C68" s="780"/>
      <c r="D68" s="780"/>
      <c r="E68" s="780"/>
      <c r="F68" s="780"/>
      <c r="G68" s="780"/>
      <c r="H68" s="915"/>
      <c r="I68" s="874"/>
      <c r="J68" s="1125"/>
      <c r="K68" s="1126"/>
      <c r="L68" s="807"/>
      <c r="M68" s="808"/>
      <c r="N68" s="808"/>
      <c r="O68" s="808"/>
      <c r="P68" s="808"/>
      <c r="Q68" s="641"/>
      <c r="R68" s="829"/>
      <c r="S68" s="830"/>
      <c r="T68" s="858"/>
      <c r="U68" s="835"/>
      <c r="V68" s="38">
        <f t="shared" si="1"/>
        <v>0</v>
      </c>
      <c r="W68" s="40">
        <f>IF(H72="ja",Z68,0)</f>
        <v>1.5E-3</v>
      </c>
      <c r="X68" s="40">
        <f>IF(H72="ja",AA68,0)</f>
        <v>1.5E-3</v>
      </c>
      <c r="Y68" s="38" t="s">
        <v>182</v>
      </c>
      <c r="Z68" s="43">
        <v>1.5E-3</v>
      </c>
      <c r="AA68" s="43">
        <v>1.5E-3</v>
      </c>
      <c r="AB68" s="38"/>
      <c r="AC68" s="38">
        <f t="shared" si="0"/>
        <v>0</v>
      </c>
      <c r="AD68" s="38"/>
    </row>
    <row r="69" spans="1:30" ht="15.95" customHeight="1" thickBot="1" x14ac:dyDescent="0.3">
      <c r="A69" s="763"/>
      <c r="B69" s="779" t="s">
        <v>183</v>
      </c>
      <c r="C69" s="780"/>
      <c r="D69" s="780"/>
      <c r="E69" s="780"/>
      <c r="F69" s="780"/>
      <c r="G69" s="780"/>
      <c r="H69" s="915" t="s">
        <v>107</v>
      </c>
      <c r="I69" s="874"/>
      <c r="J69" s="1125"/>
      <c r="K69" s="1126"/>
      <c r="L69" s="807"/>
      <c r="M69" s="808"/>
      <c r="N69" s="808"/>
      <c r="O69" s="808"/>
      <c r="P69" s="808"/>
      <c r="Q69" s="641"/>
      <c r="R69" s="829"/>
      <c r="S69" s="830"/>
      <c r="T69" s="858"/>
      <c r="U69" s="835"/>
      <c r="V69" s="38"/>
      <c r="W69" s="40"/>
      <c r="X69" s="40"/>
      <c r="Y69" s="38"/>
      <c r="Z69" s="38"/>
      <c r="AA69" s="38"/>
      <c r="AB69" s="38"/>
      <c r="AC69" s="38">
        <f t="shared" si="0"/>
        <v>0</v>
      </c>
      <c r="AD69" s="38"/>
    </row>
    <row r="70" spans="1:30" ht="15.95" customHeight="1" thickBot="1" x14ac:dyDescent="0.3">
      <c r="A70" s="763"/>
      <c r="B70" s="779"/>
      <c r="C70" s="780"/>
      <c r="D70" s="780"/>
      <c r="E70" s="780"/>
      <c r="F70" s="780"/>
      <c r="G70" s="780"/>
      <c r="H70" s="915"/>
      <c r="I70" s="874"/>
      <c r="J70" s="1125"/>
      <c r="K70" s="1126"/>
      <c r="L70" s="807"/>
      <c r="M70" s="808"/>
      <c r="N70" s="808"/>
      <c r="O70" s="808"/>
      <c r="P70" s="808"/>
      <c r="Q70" s="641"/>
      <c r="R70" s="829"/>
      <c r="S70" s="830"/>
      <c r="T70" s="858"/>
      <c r="U70" s="835"/>
      <c r="V70" s="38">
        <f t="shared" si="1"/>
        <v>0</v>
      </c>
      <c r="W70" s="40"/>
      <c r="X70" s="40"/>
      <c r="Y70" s="38"/>
      <c r="Z70" s="38"/>
      <c r="AA70" s="38"/>
      <c r="AB70" s="38"/>
      <c r="AC70" s="38">
        <f t="shared" si="0"/>
        <v>0</v>
      </c>
      <c r="AD70" s="38"/>
    </row>
    <row r="71" spans="1:30" ht="15.95" customHeight="1" thickBot="1" x14ac:dyDescent="0.3">
      <c r="A71" s="763"/>
      <c r="B71" s="779"/>
      <c r="C71" s="780"/>
      <c r="D71" s="780"/>
      <c r="E71" s="780"/>
      <c r="F71" s="780"/>
      <c r="G71" s="780"/>
      <c r="H71" s="915"/>
      <c r="I71" s="874"/>
      <c r="J71" s="1125"/>
      <c r="K71" s="1126"/>
      <c r="L71" s="807"/>
      <c r="M71" s="808"/>
      <c r="N71" s="808"/>
      <c r="O71" s="808"/>
      <c r="P71" s="808"/>
      <c r="Q71" s="641"/>
      <c r="R71" s="829"/>
      <c r="S71" s="830"/>
      <c r="T71" s="858"/>
      <c r="U71" s="835"/>
      <c r="V71" s="38">
        <f>IF(AND(Q71="ja",R71=""),1,0)</f>
        <v>0</v>
      </c>
      <c r="W71" s="40"/>
      <c r="X71" s="40"/>
      <c r="Y71" s="38"/>
      <c r="Z71" s="38"/>
      <c r="AA71" s="38"/>
      <c r="AB71" s="38"/>
      <c r="AC71" s="38">
        <f t="shared" si="0"/>
        <v>0</v>
      </c>
      <c r="AD71" s="38"/>
    </row>
    <row r="72" spans="1:30" ht="15.95" customHeight="1" thickBot="1" x14ac:dyDescent="0.3">
      <c r="A72" s="763"/>
      <c r="B72" s="779" t="s">
        <v>184</v>
      </c>
      <c r="C72" s="780"/>
      <c r="D72" s="780"/>
      <c r="E72" s="780"/>
      <c r="F72" s="780"/>
      <c r="G72" s="780"/>
      <c r="H72" s="915" t="s">
        <v>106</v>
      </c>
      <c r="I72" s="874"/>
      <c r="J72" s="1125"/>
      <c r="K72" s="1126"/>
      <c r="L72" s="807"/>
      <c r="M72" s="808"/>
      <c r="N72" s="808"/>
      <c r="O72" s="808"/>
      <c r="P72" s="808"/>
      <c r="Q72" s="641"/>
      <c r="R72" s="829"/>
      <c r="S72" s="830"/>
      <c r="T72" s="858"/>
      <c r="U72" s="835"/>
      <c r="V72" s="38"/>
      <c r="W72" s="40"/>
      <c r="X72" s="40"/>
      <c r="Y72" s="38"/>
      <c r="Z72" s="38"/>
      <c r="AA72" s="38"/>
      <c r="AB72" s="38"/>
      <c r="AC72" s="38">
        <f t="shared" si="0"/>
        <v>0</v>
      </c>
      <c r="AD72" s="38"/>
    </row>
    <row r="73" spans="1:30" ht="15.95" customHeight="1" thickBot="1" x14ac:dyDescent="0.3">
      <c r="A73" s="763"/>
      <c r="B73" s="779"/>
      <c r="C73" s="780"/>
      <c r="D73" s="780"/>
      <c r="E73" s="780"/>
      <c r="F73" s="780"/>
      <c r="G73" s="780"/>
      <c r="H73" s="915"/>
      <c r="I73" s="874"/>
      <c r="J73" s="1125"/>
      <c r="K73" s="1126"/>
      <c r="L73" s="807"/>
      <c r="M73" s="808"/>
      <c r="N73" s="808"/>
      <c r="O73" s="808"/>
      <c r="P73" s="808"/>
      <c r="Q73" s="641"/>
      <c r="R73" s="829"/>
      <c r="S73" s="830"/>
      <c r="T73" s="858"/>
      <c r="U73" s="835"/>
      <c r="V73" s="38">
        <f>IF(AND(Q73="ja",R73=""),1,0)</f>
        <v>0</v>
      </c>
      <c r="W73" s="40"/>
      <c r="X73" s="40"/>
      <c r="Y73" s="38"/>
      <c r="Z73" s="38"/>
      <c r="AA73" s="38"/>
      <c r="AB73" s="38"/>
      <c r="AC73" s="38">
        <f t="shared" si="0"/>
        <v>0</v>
      </c>
      <c r="AD73" s="38"/>
    </row>
    <row r="74" spans="1:30" ht="15.95" customHeight="1" thickBot="1" x14ac:dyDescent="0.3">
      <c r="A74" s="763"/>
      <c r="B74" s="779"/>
      <c r="C74" s="780"/>
      <c r="D74" s="780"/>
      <c r="E74" s="780"/>
      <c r="F74" s="780"/>
      <c r="G74" s="780"/>
      <c r="H74" s="915"/>
      <c r="I74" s="874"/>
      <c r="J74" s="1125"/>
      <c r="K74" s="1126"/>
      <c r="L74" s="807"/>
      <c r="M74" s="808"/>
      <c r="N74" s="808"/>
      <c r="O74" s="808"/>
      <c r="P74" s="808"/>
      <c r="Q74" s="641"/>
      <c r="R74" s="829"/>
      <c r="S74" s="830"/>
      <c r="T74" s="858"/>
      <c r="U74" s="835"/>
      <c r="V74" s="38"/>
      <c r="W74" s="40"/>
      <c r="X74" s="38"/>
      <c r="Y74" s="38"/>
      <c r="Z74" s="38"/>
      <c r="AA74" s="38"/>
      <c r="AB74" s="38"/>
      <c r="AC74" s="38">
        <f t="shared" si="0"/>
        <v>0</v>
      </c>
      <c r="AD74" s="38"/>
    </row>
    <row r="75" spans="1:30" ht="15.95" customHeight="1" thickBot="1" x14ac:dyDescent="0.3">
      <c r="A75" s="763"/>
      <c r="B75" s="1108"/>
      <c r="C75" s="1109"/>
      <c r="D75" s="1109"/>
      <c r="E75" s="1109"/>
      <c r="F75" s="1109"/>
      <c r="G75" s="1109"/>
      <c r="H75" s="1110"/>
      <c r="I75" s="875"/>
      <c r="J75" s="1127"/>
      <c r="K75" s="1128"/>
      <c r="L75" s="653"/>
      <c r="M75" s="654"/>
      <c r="N75" s="654"/>
      <c r="O75" s="654"/>
      <c r="P75" s="655"/>
      <c r="Q75" s="652"/>
      <c r="R75" s="829"/>
      <c r="S75" s="830"/>
      <c r="T75" s="859"/>
      <c r="U75" s="835"/>
      <c r="V75" s="38">
        <f>IF(AND(Q75="ja",R75=""),1,0)</f>
        <v>0</v>
      </c>
      <c r="W75" s="41">
        <f>SUM(W61:W68)</f>
        <v>1.6500000000000001E-2</v>
      </c>
      <c r="X75" s="41">
        <f>SUM(X61:X68)</f>
        <v>1.6500000000000001E-2</v>
      </c>
      <c r="Y75" s="38"/>
      <c r="Z75" s="38"/>
      <c r="AA75" s="38"/>
      <c r="AB75" s="38"/>
      <c r="AC75" s="38">
        <f t="shared" si="0"/>
        <v>0</v>
      </c>
      <c r="AD75" s="38"/>
    </row>
    <row r="76" spans="1:30" ht="14.25" customHeight="1" thickBot="1" x14ac:dyDescent="0.3">
      <c r="A76" s="763"/>
      <c r="B76" s="790" t="s">
        <v>185</v>
      </c>
      <c r="C76" s="791"/>
      <c r="D76" s="791"/>
      <c r="E76" s="791"/>
      <c r="F76" s="332"/>
      <c r="G76" s="308">
        <f>COUNTIF(H61:H75,"ja")</f>
        <v>3</v>
      </c>
      <c r="I76" s="869"/>
      <c r="J76" s="870"/>
      <c r="K76" s="879"/>
      <c r="L76" s="1137">
        <f>SUM(R61:S75)</f>
        <v>0</v>
      </c>
      <c r="M76" s="1138"/>
      <c r="N76" s="1138"/>
      <c r="O76" s="1138"/>
      <c r="P76" s="1138"/>
      <c r="Q76" s="132"/>
      <c r="R76" s="928">
        <v>1</v>
      </c>
      <c r="S76" s="929"/>
      <c r="T76" s="623"/>
      <c r="U76" s="624" t="s">
        <v>170</v>
      </c>
      <c r="V76" s="38"/>
      <c r="W76" s="38">
        <f>IF(AND(B57=T17,I76=""),1,0)</f>
        <v>0</v>
      </c>
      <c r="X76" s="633">
        <f>G104</f>
        <v>8</v>
      </c>
      <c r="Y76" s="41" t="s">
        <v>186</v>
      </c>
      <c r="Z76" s="41"/>
      <c r="AA76" s="41"/>
      <c r="AB76" s="38"/>
      <c r="AC76" s="38">
        <f t="shared" si="0"/>
        <v>0</v>
      </c>
      <c r="AD76" s="38"/>
    </row>
    <row r="77" spans="1:30" ht="14.25" customHeight="1" x14ac:dyDescent="0.25">
      <c r="A77" s="763"/>
      <c r="B77" s="772" t="s">
        <v>187</v>
      </c>
      <c r="C77" s="773"/>
      <c r="D77" s="773"/>
      <c r="E77" s="773"/>
      <c r="F77" s="773"/>
      <c r="G77" s="774"/>
      <c r="H77" s="1129" t="s">
        <v>106</v>
      </c>
      <c r="I77" s="873">
        <f>IF(I52="Gebäude",W101,X101)</f>
        <v>6.5000000000000002E-2</v>
      </c>
      <c r="J77" s="814">
        <f>I57*I77</f>
        <v>0</v>
      </c>
      <c r="K77" s="815"/>
      <c r="L77" s="842" t="s">
        <v>682</v>
      </c>
      <c r="M77" s="843"/>
      <c r="N77" s="843"/>
      <c r="O77" s="843"/>
      <c r="P77" s="843"/>
      <c r="Q77" s="797" t="s">
        <v>106</v>
      </c>
      <c r="R77" s="803"/>
      <c r="S77" s="804"/>
      <c r="T77" s="831" t="s">
        <v>106</v>
      </c>
      <c r="U77" s="836">
        <v>1</v>
      </c>
      <c r="V77" s="38">
        <f>IF(AND(Q77="ja",R77=""),1,0)</f>
        <v>1</v>
      </c>
      <c r="W77" s="40">
        <f>IF(H77="ja",Z77,0)</f>
        <v>5.0000000000000001E-3</v>
      </c>
      <c r="X77" s="40">
        <f>IF(H77="ja",AA77,0)</f>
        <v>5.0000000000000001E-3</v>
      </c>
      <c r="Y77" s="38" t="s">
        <v>176</v>
      </c>
      <c r="Z77" s="43">
        <v>5.0000000000000001E-3</v>
      </c>
      <c r="AA77" s="43">
        <v>5.0000000000000001E-3</v>
      </c>
      <c r="AB77" s="38"/>
      <c r="AC77" s="38">
        <f t="shared" si="0"/>
        <v>1</v>
      </c>
      <c r="AD77" s="38">
        <f>IF(AND(I77+SUM(V77:V95)&gt;0,U77=""),1,0)</f>
        <v>0</v>
      </c>
    </row>
    <row r="78" spans="1:30" ht="14.25" customHeight="1" x14ac:dyDescent="0.25">
      <c r="A78" s="763"/>
      <c r="B78" s="775"/>
      <c r="C78" s="776"/>
      <c r="D78" s="776"/>
      <c r="E78" s="776"/>
      <c r="F78" s="776"/>
      <c r="G78" s="777"/>
      <c r="H78" s="1130"/>
      <c r="I78" s="874"/>
      <c r="J78" s="816"/>
      <c r="K78" s="817"/>
      <c r="L78" s="807"/>
      <c r="M78" s="808"/>
      <c r="N78" s="808"/>
      <c r="O78" s="808"/>
      <c r="P78" s="808"/>
      <c r="Q78" s="798"/>
      <c r="R78" s="805"/>
      <c r="S78" s="806"/>
      <c r="T78" s="832"/>
      <c r="U78" s="837"/>
      <c r="V78" s="38"/>
      <c r="W78" s="40"/>
      <c r="X78" s="40"/>
      <c r="Y78" s="38"/>
      <c r="Z78" s="38"/>
      <c r="AA78" s="38"/>
      <c r="AB78" s="38"/>
      <c r="AC78" s="38">
        <f t="shared" si="0"/>
        <v>0</v>
      </c>
      <c r="AD78" s="38"/>
    </row>
    <row r="79" spans="1:30" ht="14.25" customHeight="1" x14ac:dyDescent="0.25">
      <c r="A79" s="763"/>
      <c r="B79" s="775" t="s">
        <v>188</v>
      </c>
      <c r="C79" s="776"/>
      <c r="D79" s="776"/>
      <c r="E79" s="776"/>
      <c r="F79" s="776"/>
      <c r="G79" s="777"/>
      <c r="H79" s="913" t="s">
        <v>106</v>
      </c>
      <c r="I79" s="874"/>
      <c r="J79" s="816"/>
      <c r="K79" s="817"/>
      <c r="L79" s="807" t="s">
        <v>190</v>
      </c>
      <c r="M79" s="808"/>
      <c r="N79" s="808"/>
      <c r="O79" s="808"/>
      <c r="P79" s="808"/>
      <c r="Q79" s="798" t="s">
        <v>106</v>
      </c>
      <c r="R79" s="805"/>
      <c r="S79" s="806"/>
      <c r="T79" s="832"/>
      <c r="U79" s="837"/>
      <c r="V79" s="38">
        <f>IF(AND(Q79="ja",R79=""),1,0)</f>
        <v>1</v>
      </c>
      <c r="W79" s="40">
        <f>IF(H79="ja",Z79,0)</f>
        <v>1E-3</v>
      </c>
      <c r="X79" s="40">
        <f>IF(H79="ja",AA79,0)</f>
        <v>1E-3</v>
      </c>
      <c r="Y79" s="38" t="s">
        <v>177</v>
      </c>
      <c r="Z79" s="43">
        <v>1E-3</v>
      </c>
      <c r="AA79" s="43">
        <v>1E-3</v>
      </c>
      <c r="AB79" s="38"/>
      <c r="AC79" s="38">
        <f t="shared" si="0"/>
        <v>1</v>
      </c>
      <c r="AD79" s="38"/>
    </row>
    <row r="80" spans="1:30" ht="14.25" customHeight="1" x14ac:dyDescent="0.25">
      <c r="A80" s="763"/>
      <c r="B80" s="775"/>
      <c r="C80" s="776"/>
      <c r="D80" s="776"/>
      <c r="E80" s="776"/>
      <c r="F80" s="776"/>
      <c r="G80" s="777"/>
      <c r="H80" s="996"/>
      <c r="I80" s="874"/>
      <c r="J80" s="816"/>
      <c r="K80" s="817"/>
      <c r="L80" s="807"/>
      <c r="M80" s="808"/>
      <c r="N80" s="808"/>
      <c r="O80" s="808"/>
      <c r="P80" s="808"/>
      <c r="Q80" s="798"/>
      <c r="R80" s="805"/>
      <c r="S80" s="806"/>
      <c r="T80" s="832"/>
      <c r="U80" s="837"/>
      <c r="V80" s="38"/>
      <c r="W80" s="40">
        <f>IF(H81="ja",Z80,0)</f>
        <v>0.03</v>
      </c>
      <c r="X80" s="40">
        <f>IF(H81="ja",AA80,0)</f>
        <v>3.2500000000000001E-2</v>
      </c>
      <c r="Y80" s="38" t="s">
        <v>179</v>
      </c>
      <c r="Z80" s="43">
        <v>0.03</v>
      </c>
      <c r="AA80" s="43">
        <v>3.2500000000000001E-2</v>
      </c>
      <c r="AB80" s="38"/>
      <c r="AC80" s="38">
        <f t="shared" si="0"/>
        <v>0</v>
      </c>
      <c r="AD80" s="38"/>
    </row>
    <row r="81" spans="1:30" ht="14.25" customHeight="1" x14ac:dyDescent="0.25">
      <c r="A81" s="763"/>
      <c r="B81" s="775" t="s">
        <v>189</v>
      </c>
      <c r="C81" s="776"/>
      <c r="D81" s="776"/>
      <c r="E81" s="776"/>
      <c r="F81" s="776"/>
      <c r="G81" s="777"/>
      <c r="H81" s="913" t="s">
        <v>106</v>
      </c>
      <c r="I81" s="874"/>
      <c r="J81" s="816"/>
      <c r="K81" s="817"/>
      <c r="L81" s="807"/>
      <c r="M81" s="808"/>
      <c r="N81" s="808"/>
      <c r="O81" s="808"/>
      <c r="P81" s="808"/>
      <c r="Q81" s="798"/>
      <c r="R81" s="805"/>
      <c r="S81" s="806"/>
      <c r="T81" s="832"/>
      <c r="U81" s="837"/>
      <c r="V81" s="38"/>
      <c r="W81" s="40"/>
      <c r="X81" s="40"/>
      <c r="Y81" s="38"/>
      <c r="Z81" s="38"/>
      <c r="AA81" s="38"/>
      <c r="AB81" s="38"/>
      <c r="AC81" s="38">
        <f t="shared" si="0"/>
        <v>0</v>
      </c>
      <c r="AD81" s="38"/>
    </row>
    <row r="82" spans="1:30" ht="14.25" customHeight="1" x14ac:dyDescent="0.25">
      <c r="A82" s="763"/>
      <c r="B82" s="775"/>
      <c r="C82" s="776"/>
      <c r="D82" s="776"/>
      <c r="E82" s="776"/>
      <c r="F82" s="776"/>
      <c r="G82" s="777"/>
      <c r="H82" s="914"/>
      <c r="I82" s="874"/>
      <c r="J82" s="816"/>
      <c r="K82" s="817"/>
      <c r="L82" s="807"/>
      <c r="M82" s="808"/>
      <c r="N82" s="808"/>
      <c r="O82" s="808"/>
      <c r="P82" s="808"/>
      <c r="Q82" s="641"/>
      <c r="R82" s="829"/>
      <c r="S82" s="830"/>
      <c r="T82" s="832"/>
      <c r="U82" s="837"/>
      <c r="V82" s="38">
        <f>IF(AND(Q82="ja",R82=""),1,0)</f>
        <v>0</v>
      </c>
      <c r="W82" s="40"/>
      <c r="X82" s="40"/>
      <c r="Y82" s="38"/>
      <c r="Z82" s="38"/>
      <c r="AA82" s="38"/>
      <c r="AB82" s="38"/>
      <c r="AC82" s="38">
        <f t="shared" si="0"/>
        <v>0</v>
      </c>
      <c r="AD82" s="38"/>
    </row>
    <row r="83" spans="1:30" ht="14.25" customHeight="1" x14ac:dyDescent="0.25">
      <c r="A83" s="763"/>
      <c r="B83" s="775"/>
      <c r="C83" s="776"/>
      <c r="D83" s="776"/>
      <c r="E83" s="776"/>
      <c r="F83" s="776"/>
      <c r="G83" s="777"/>
      <c r="H83" s="996"/>
      <c r="I83" s="874"/>
      <c r="J83" s="816"/>
      <c r="K83" s="817"/>
      <c r="L83" s="807"/>
      <c r="M83" s="808"/>
      <c r="N83" s="808"/>
      <c r="O83" s="808"/>
      <c r="P83" s="808"/>
      <c r="Q83" s="641"/>
      <c r="R83" s="829"/>
      <c r="S83" s="830"/>
      <c r="T83" s="832"/>
      <c r="U83" s="837"/>
      <c r="V83" s="38"/>
      <c r="W83" s="40">
        <f>IF(H84="ja",Z83,0)</f>
        <v>8.5000000000000006E-3</v>
      </c>
      <c r="X83" s="40">
        <f>IF(H84="ja",AA83,0)</f>
        <v>0.01</v>
      </c>
      <c r="Y83" s="38" t="s">
        <v>181</v>
      </c>
      <c r="Z83" s="43">
        <v>8.5000000000000006E-3</v>
      </c>
      <c r="AA83" s="43">
        <v>0.01</v>
      </c>
      <c r="AB83" s="38"/>
      <c r="AC83" s="38">
        <f t="shared" si="0"/>
        <v>0</v>
      </c>
      <c r="AD83" s="38"/>
    </row>
    <row r="84" spans="1:30" ht="14.25" customHeight="1" x14ac:dyDescent="0.25">
      <c r="A84" s="763"/>
      <c r="B84" s="775" t="s">
        <v>191</v>
      </c>
      <c r="C84" s="776"/>
      <c r="D84" s="776"/>
      <c r="E84" s="776"/>
      <c r="F84" s="776"/>
      <c r="G84" s="777"/>
      <c r="H84" s="1014" t="s">
        <v>106</v>
      </c>
      <c r="I84" s="874"/>
      <c r="J84" s="816"/>
      <c r="K84" s="817"/>
      <c r="L84" s="807"/>
      <c r="M84" s="808"/>
      <c r="N84" s="808"/>
      <c r="O84" s="808"/>
      <c r="P84" s="808"/>
      <c r="Q84" s="641"/>
      <c r="R84" s="829"/>
      <c r="S84" s="830"/>
      <c r="T84" s="832"/>
      <c r="U84" s="837"/>
      <c r="V84" s="38">
        <f>IF(AND(Q84="ja",R84=""),1,0)</f>
        <v>0</v>
      </c>
      <c r="W84" s="40"/>
      <c r="X84" s="40"/>
      <c r="Y84" s="38"/>
      <c r="Z84" s="38"/>
      <c r="AA84" s="38"/>
      <c r="AB84" s="38"/>
      <c r="AC84" s="38">
        <f t="shared" si="0"/>
        <v>0</v>
      </c>
      <c r="AD84" s="38"/>
    </row>
    <row r="85" spans="1:30" ht="14.25" customHeight="1" x14ac:dyDescent="0.25">
      <c r="A85" s="763"/>
      <c r="B85" s="775"/>
      <c r="C85" s="776"/>
      <c r="D85" s="776"/>
      <c r="E85" s="776"/>
      <c r="F85" s="776"/>
      <c r="G85" s="777"/>
      <c r="H85" s="1017"/>
      <c r="I85" s="874"/>
      <c r="J85" s="816"/>
      <c r="K85" s="817"/>
      <c r="L85" s="807"/>
      <c r="M85" s="808"/>
      <c r="N85" s="808"/>
      <c r="O85" s="808"/>
      <c r="P85" s="808"/>
      <c r="Q85" s="641"/>
      <c r="R85" s="829"/>
      <c r="S85" s="830"/>
      <c r="T85" s="832"/>
      <c r="U85" s="837"/>
      <c r="V85" s="38">
        <f>IF(AND(Q85="ja",R85=""),1,0)</f>
        <v>0</v>
      </c>
      <c r="W85" s="40">
        <f>IF(H86="ja",Z85,0)</f>
        <v>5.0000000000000001E-3</v>
      </c>
      <c r="X85" s="40">
        <f>IF(H86="ja",AA85,0)</f>
        <v>5.0000000000000001E-3</v>
      </c>
      <c r="Y85" s="38" t="s">
        <v>182</v>
      </c>
      <c r="Z85" s="43">
        <v>5.0000000000000001E-3</v>
      </c>
      <c r="AA85" s="43">
        <v>5.0000000000000001E-3</v>
      </c>
      <c r="AB85" s="38"/>
      <c r="AC85" s="38">
        <f t="shared" si="0"/>
        <v>0</v>
      </c>
      <c r="AD85" s="38"/>
    </row>
    <row r="86" spans="1:30" ht="14.25" customHeight="1" x14ac:dyDescent="0.25">
      <c r="A86" s="763"/>
      <c r="B86" s="775" t="s">
        <v>192</v>
      </c>
      <c r="C86" s="776"/>
      <c r="D86" s="776"/>
      <c r="E86" s="776"/>
      <c r="F86" s="776"/>
      <c r="G86" s="777"/>
      <c r="H86" s="1014" t="s">
        <v>106</v>
      </c>
      <c r="I86" s="874"/>
      <c r="J86" s="816"/>
      <c r="K86" s="817"/>
      <c r="L86" s="807"/>
      <c r="M86" s="808"/>
      <c r="N86" s="808"/>
      <c r="O86" s="808"/>
      <c r="P86" s="808"/>
      <c r="Q86" s="641"/>
      <c r="R86" s="829"/>
      <c r="S86" s="830"/>
      <c r="T86" s="832"/>
      <c r="U86" s="837"/>
      <c r="V86" s="38"/>
      <c r="W86" s="40"/>
      <c r="X86" s="40"/>
      <c r="Y86" s="38"/>
      <c r="Z86" s="38"/>
      <c r="AA86" s="38"/>
      <c r="AB86" s="38"/>
      <c r="AC86" s="38">
        <f t="shared" si="0"/>
        <v>0</v>
      </c>
      <c r="AD86" s="38"/>
    </row>
    <row r="87" spans="1:30" ht="14.25" customHeight="1" x14ac:dyDescent="0.25">
      <c r="A87" s="763"/>
      <c r="B87" s="775"/>
      <c r="C87" s="776"/>
      <c r="D87" s="776"/>
      <c r="E87" s="776"/>
      <c r="F87" s="776"/>
      <c r="G87" s="777"/>
      <c r="H87" s="1015"/>
      <c r="I87" s="874"/>
      <c r="J87" s="816"/>
      <c r="K87" s="817"/>
      <c r="L87" s="807"/>
      <c r="M87" s="808"/>
      <c r="N87" s="808"/>
      <c r="O87" s="808"/>
      <c r="P87" s="808"/>
      <c r="Q87" s="641"/>
      <c r="R87" s="829"/>
      <c r="S87" s="830"/>
      <c r="T87" s="832"/>
      <c r="U87" s="837"/>
      <c r="V87" s="38">
        <f>IF(AND(Q87="ja",R87=""),1,0)</f>
        <v>0</v>
      </c>
      <c r="W87" s="40"/>
      <c r="X87" s="40"/>
      <c r="Y87" s="38"/>
      <c r="Z87" s="38"/>
      <c r="AA87" s="38"/>
      <c r="AB87" s="38"/>
      <c r="AC87" s="38">
        <f t="shared" si="0"/>
        <v>0</v>
      </c>
      <c r="AD87" s="38"/>
    </row>
    <row r="88" spans="1:30" ht="14.25" customHeight="1" x14ac:dyDescent="0.25">
      <c r="A88" s="763"/>
      <c r="B88" s="775"/>
      <c r="C88" s="776"/>
      <c r="D88" s="776"/>
      <c r="E88" s="776"/>
      <c r="F88" s="776"/>
      <c r="G88" s="777"/>
      <c r="H88" s="1015"/>
      <c r="I88" s="874"/>
      <c r="J88" s="816"/>
      <c r="K88" s="817"/>
      <c r="L88" s="807"/>
      <c r="M88" s="808"/>
      <c r="N88" s="808"/>
      <c r="O88" s="808"/>
      <c r="P88" s="808"/>
      <c r="Q88" s="641"/>
      <c r="R88" s="829"/>
      <c r="S88" s="830"/>
      <c r="T88" s="832"/>
      <c r="U88" s="837"/>
      <c r="V88" s="38">
        <f>IF(AND(Q88="ja",R88=""),1,0)</f>
        <v>0</v>
      </c>
      <c r="W88" s="40">
        <f>IF(H90="ja",Z88,0)</f>
        <v>3.0000000000000001E-3</v>
      </c>
      <c r="X88" s="40">
        <f>IF(H90="ja",AA88,0)</f>
        <v>2.5000000000000001E-3</v>
      </c>
      <c r="Y88" s="38" t="s">
        <v>193</v>
      </c>
      <c r="Z88" s="43">
        <v>3.0000000000000001E-3</v>
      </c>
      <c r="AA88" s="43">
        <v>2.5000000000000001E-3</v>
      </c>
      <c r="AB88" s="38"/>
      <c r="AC88" s="38">
        <f t="shared" si="0"/>
        <v>0</v>
      </c>
      <c r="AD88" s="38"/>
    </row>
    <row r="89" spans="1:30" ht="14.25" customHeight="1" x14ac:dyDescent="0.25">
      <c r="A89" s="763"/>
      <c r="B89" s="775"/>
      <c r="C89" s="776"/>
      <c r="D89" s="776"/>
      <c r="E89" s="776"/>
      <c r="F89" s="776"/>
      <c r="G89" s="777"/>
      <c r="H89" s="1017"/>
      <c r="I89" s="874"/>
      <c r="J89" s="816"/>
      <c r="K89" s="817"/>
      <c r="L89" s="807"/>
      <c r="M89" s="808"/>
      <c r="N89" s="808"/>
      <c r="O89" s="808"/>
      <c r="P89" s="808"/>
      <c r="Q89" s="641"/>
      <c r="R89" s="829"/>
      <c r="S89" s="830"/>
      <c r="T89" s="832"/>
      <c r="U89" s="837"/>
      <c r="V89" s="38"/>
      <c r="W89" s="40">
        <f>IF(H92="ja",Z89,0)</f>
        <v>0.01</v>
      </c>
      <c r="X89" s="40">
        <f>IF(H92="ja",AA89,0)</f>
        <v>8.9999999999999993E-3</v>
      </c>
      <c r="Y89" s="38" t="s">
        <v>194</v>
      </c>
      <c r="Z89" s="43">
        <v>0.01</v>
      </c>
      <c r="AA89" s="43">
        <v>8.9999999999999993E-3</v>
      </c>
      <c r="AB89" s="38"/>
      <c r="AC89" s="38">
        <f t="shared" si="0"/>
        <v>0</v>
      </c>
      <c r="AD89" s="38"/>
    </row>
    <row r="90" spans="1:30" ht="14.25" customHeight="1" x14ac:dyDescent="0.25">
      <c r="A90" s="763"/>
      <c r="B90" s="1011" t="s">
        <v>195</v>
      </c>
      <c r="C90" s="1012"/>
      <c r="D90" s="1012"/>
      <c r="E90" s="1012"/>
      <c r="F90" s="1012"/>
      <c r="G90" s="1013"/>
      <c r="H90" s="1014" t="s">
        <v>106</v>
      </c>
      <c r="I90" s="874"/>
      <c r="J90" s="816"/>
      <c r="K90" s="817"/>
      <c r="L90" s="807"/>
      <c r="M90" s="808"/>
      <c r="N90" s="808"/>
      <c r="O90" s="808"/>
      <c r="P90" s="808"/>
      <c r="Q90" s="641"/>
      <c r="R90" s="829"/>
      <c r="S90" s="830"/>
      <c r="T90" s="832"/>
      <c r="U90" s="837"/>
      <c r="V90" s="38"/>
      <c r="W90" s="40"/>
      <c r="X90" s="40"/>
      <c r="Y90" s="38"/>
      <c r="Z90" s="38"/>
      <c r="AA90" s="38"/>
      <c r="AB90" s="38"/>
      <c r="AC90" s="38">
        <f t="shared" si="0"/>
        <v>0</v>
      </c>
      <c r="AD90" s="38"/>
    </row>
    <row r="91" spans="1:30" ht="14.25" customHeight="1" x14ac:dyDescent="0.25">
      <c r="A91" s="763"/>
      <c r="B91" s="1011"/>
      <c r="C91" s="1012"/>
      <c r="D91" s="1012"/>
      <c r="E91" s="1012"/>
      <c r="F91" s="1012"/>
      <c r="G91" s="1013"/>
      <c r="H91" s="1017"/>
      <c r="I91" s="874"/>
      <c r="J91" s="816"/>
      <c r="K91" s="817"/>
      <c r="L91" s="807"/>
      <c r="M91" s="808"/>
      <c r="N91" s="808"/>
      <c r="O91" s="808"/>
      <c r="P91" s="808"/>
      <c r="Q91" s="641"/>
      <c r="R91" s="829"/>
      <c r="S91" s="830"/>
      <c r="T91" s="832"/>
      <c r="U91" s="837"/>
      <c r="V91" s="38">
        <f>IF(AND(Q91="ja",R91=""),1,0)</f>
        <v>0</v>
      </c>
      <c r="W91" s="40">
        <f>IF(H95="ja",Z91,0)</f>
        <v>0</v>
      </c>
      <c r="X91" s="40">
        <f>IF(H95="ja",AA91,0)</f>
        <v>0</v>
      </c>
      <c r="Y91" s="38" t="s">
        <v>196</v>
      </c>
      <c r="Z91" s="43">
        <v>5.0000000000000001E-3</v>
      </c>
      <c r="AA91" s="43">
        <v>2.5000000000000001E-3</v>
      </c>
      <c r="AB91" s="38"/>
      <c r="AC91" s="38">
        <f t="shared" si="0"/>
        <v>0</v>
      </c>
      <c r="AD91" s="38"/>
    </row>
    <row r="92" spans="1:30" ht="14.25" customHeight="1" x14ac:dyDescent="0.25">
      <c r="A92" s="763"/>
      <c r="B92" s="775" t="s">
        <v>197</v>
      </c>
      <c r="C92" s="776"/>
      <c r="D92" s="776"/>
      <c r="E92" s="776"/>
      <c r="F92" s="776"/>
      <c r="G92" s="777"/>
      <c r="H92" s="1014" t="s">
        <v>106</v>
      </c>
      <c r="I92" s="874"/>
      <c r="J92" s="816"/>
      <c r="K92" s="817"/>
      <c r="L92" s="807"/>
      <c r="M92" s="808"/>
      <c r="N92" s="808"/>
      <c r="O92" s="808"/>
      <c r="P92" s="808"/>
      <c r="Q92" s="641"/>
      <c r="R92" s="829"/>
      <c r="S92" s="830"/>
      <c r="T92" s="832"/>
      <c r="U92" s="837"/>
      <c r="V92" s="38"/>
      <c r="W92" s="40"/>
      <c r="X92" s="40"/>
      <c r="Y92" s="38"/>
      <c r="Z92" s="38"/>
      <c r="AA92" s="38"/>
      <c r="AB92" s="38"/>
      <c r="AC92" s="38">
        <f t="shared" si="0"/>
        <v>0</v>
      </c>
      <c r="AD92" s="38"/>
    </row>
    <row r="93" spans="1:30" ht="14.25" customHeight="1" x14ac:dyDescent="0.25">
      <c r="A93" s="763"/>
      <c r="B93" s="775"/>
      <c r="C93" s="776"/>
      <c r="D93" s="776"/>
      <c r="E93" s="776"/>
      <c r="F93" s="776"/>
      <c r="G93" s="777"/>
      <c r="H93" s="1015"/>
      <c r="I93" s="874"/>
      <c r="J93" s="816"/>
      <c r="K93" s="817"/>
      <c r="L93" s="807"/>
      <c r="M93" s="808"/>
      <c r="N93" s="808"/>
      <c r="O93" s="808"/>
      <c r="P93" s="808"/>
      <c r="Q93" s="641"/>
      <c r="R93" s="829"/>
      <c r="S93" s="830"/>
      <c r="T93" s="832"/>
      <c r="U93" s="837"/>
      <c r="V93" s="38">
        <f>IF(AND(Q93="ja",R93=""),1,0)</f>
        <v>0</v>
      </c>
      <c r="W93" s="40">
        <f>IF(H98="ja",Z93,0)</f>
        <v>2.5000000000000001E-3</v>
      </c>
      <c r="X93" s="40">
        <f>IF(H98="ja",AA93,0)</f>
        <v>2.5000000000000001E-3</v>
      </c>
      <c r="Y93" s="38" t="s">
        <v>198</v>
      </c>
      <c r="Z93" s="43">
        <v>2.5000000000000001E-3</v>
      </c>
      <c r="AA93" s="43">
        <v>2.5000000000000001E-3</v>
      </c>
      <c r="AB93" s="38"/>
      <c r="AC93" s="38">
        <f t="shared" si="0"/>
        <v>0</v>
      </c>
      <c r="AD93" s="38"/>
    </row>
    <row r="94" spans="1:30" ht="14.25" customHeight="1" x14ac:dyDescent="0.25">
      <c r="A94" s="763"/>
      <c r="B94" s="775"/>
      <c r="C94" s="776"/>
      <c r="D94" s="776"/>
      <c r="E94" s="776"/>
      <c r="F94" s="776"/>
      <c r="G94" s="777"/>
      <c r="H94" s="1017"/>
      <c r="I94" s="874"/>
      <c r="J94" s="816"/>
      <c r="K94" s="817"/>
      <c r="L94" s="807"/>
      <c r="M94" s="808"/>
      <c r="N94" s="808"/>
      <c r="O94" s="808"/>
      <c r="P94" s="808"/>
      <c r="Q94" s="641"/>
      <c r="R94" s="829"/>
      <c r="S94" s="830"/>
      <c r="T94" s="832"/>
      <c r="U94" s="837"/>
      <c r="V94" s="38">
        <f>IF(AND(Q94="ja",R94=""),1,0)</f>
        <v>0</v>
      </c>
      <c r="W94" s="40"/>
      <c r="X94" s="40"/>
      <c r="Y94" s="38"/>
      <c r="Z94" s="43"/>
      <c r="AA94" s="43"/>
      <c r="AB94" s="38"/>
      <c r="AC94" s="38">
        <f t="shared" si="0"/>
        <v>0</v>
      </c>
      <c r="AD94" s="38"/>
    </row>
    <row r="95" spans="1:30" ht="14.25" customHeight="1" x14ac:dyDescent="0.25">
      <c r="A95" s="763"/>
      <c r="B95" s="1008" t="s">
        <v>681</v>
      </c>
      <c r="C95" s="1009"/>
      <c r="D95" s="1009"/>
      <c r="E95" s="1009"/>
      <c r="F95" s="1009"/>
      <c r="G95" s="1010"/>
      <c r="H95" s="1014" t="s">
        <v>107</v>
      </c>
      <c r="I95" s="874"/>
      <c r="J95" s="816"/>
      <c r="K95" s="817"/>
      <c r="L95" s="807"/>
      <c r="M95" s="808"/>
      <c r="N95" s="808"/>
      <c r="O95" s="808"/>
      <c r="P95" s="808"/>
      <c r="Q95" s="641"/>
      <c r="R95" s="829"/>
      <c r="S95" s="830"/>
      <c r="T95" s="832"/>
      <c r="U95" s="837"/>
      <c r="V95" s="38">
        <f>IF(AND(Q95="ja",R95=""),1,0)</f>
        <v>0</v>
      </c>
      <c r="W95" s="40"/>
      <c r="X95" s="40"/>
      <c r="Y95" s="38"/>
      <c r="Z95" s="43"/>
      <c r="AA95" s="43"/>
      <c r="AB95" s="38"/>
      <c r="AC95" s="38">
        <f t="shared" si="0"/>
        <v>0</v>
      </c>
      <c r="AD95" s="38"/>
    </row>
    <row r="96" spans="1:30" ht="14.25" customHeight="1" x14ac:dyDescent="0.25">
      <c r="A96" s="763"/>
      <c r="B96" s="1008"/>
      <c r="C96" s="1009"/>
      <c r="D96" s="1009"/>
      <c r="E96" s="1009"/>
      <c r="F96" s="1009"/>
      <c r="G96" s="1010"/>
      <c r="H96" s="1015"/>
      <c r="I96" s="874"/>
      <c r="J96" s="816"/>
      <c r="K96" s="817"/>
      <c r="L96" s="807"/>
      <c r="M96" s="808"/>
      <c r="N96" s="808"/>
      <c r="O96" s="808"/>
      <c r="P96" s="808"/>
      <c r="Q96" s="641"/>
      <c r="R96" s="829"/>
      <c r="S96" s="830"/>
      <c r="T96" s="832"/>
      <c r="U96" s="837"/>
      <c r="V96" s="38"/>
      <c r="W96" s="40"/>
      <c r="X96" s="40"/>
      <c r="Y96" s="38"/>
      <c r="Z96" s="43"/>
      <c r="AA96" s="43"/>
      <c r="AB96" s="38"/>
      <c r="AC96" s="38">
        <f t="shared" si="0"/>
        <v>0</v>
      </c>
      <c r="AD96" s="38"/>
    </row>
    <row r="97" spans="1:30" ht="14.25" customHeight="1" x14ac:dyDescent="0.25">
      <c r="A97" s="763"/>
      <c r="B97" s="1008"/>
      <c r="C97" s="1009"/>
      <c r="D97" s="1009"/>
      <c r="E97" s="1009"/>
      <c r="F97" s="1009"/>
      <c r="G97" s="1010"/>
      <c r="H97" s="1017"/>
      <c r="I97" s="874"/>
      <c r="J97" s="816"/>
      <c r="K97" s="817"/>
      <c r="L97" s="807"/>
      <c r="M97" s="808"/>
      <c r="N97" s="808"/>
      <c r="O97" s="808"/>
      <c r="P97" s="808"/>
      <c r="Q97" s="641"/>
      <c r="R97" s="829"/>
      <c r="S97" s="830"/>
      <c r="T97" s="832"/>
      <c r="U97" s="837"/>
      <c r="V97" s="38"/>
      <c r="W97" s="40"/>
      <c r="X97" s="40"/>
      <c r="Y97" s="38"/>
      <c r="Z97" s="43"/>
      <c r="AA97" s="43"/>
      <c r="AB97" s="38"/>
      <c r="AC97" s="38">
        <f t="shared" si="0"/>
        <v>0</v>
      </c>
      <c r="AD97" s="38"/>
    </row>
    <row r="98" spans="1:30" ht="14.25" customHeight="1" x14ac:dyDescent="0.25">
      <c r="A98" s="763"/>
      <c r="B98" s="775" t="s">
        <v>184</v>
      </c>
      <c r="C98" s="776"/>
      <c r="D98" s="776"/>
      <c r="E98" s="776"/>
      <c r="F98" s="776"/>
      <c r="G98" s="777"/>
      <c r="H98" s="1014" t="s">
        <v>106</v>
      </c>
      <c r="I98" s="874"/>
      <c r="J98" s="816"/>
      <c r="K98" s="817"/>
      <c r="L98" s="807"/>
      <c r="M98" s="808"/>
      <c r="N98" s="808"/>
      <c r="O98" s="808"/>
      <c r="P98" s="808"/>
      <c r="Q98" s="641"/>
      <c r="R98" s="829"/>
      <c r="S98" s="830"/>
      <c r="T98" s="832"/>
      <c r="U98" s="837"/>
      <c r="V98" s="38"/>
      <c r="W98" s="40"/>
      <c r="X98" s="40"/>
      <c r="Y98" s="38"/>
      <c r="Z98" s="43"/>
      <c r="AA98" s="43"/>
      <c r="AB98" s="38"/>
      <c r="AC98" s="38">
        <f t="shared" si="0"/>
        <v>0</v>
      </c>
      <c r="AD98" s="38"/>
    </row>
    <row r="99" spans="1:30" ht="14.25" customHeight="1" x14ac:dyDescent="0.25">
      <c r="A99" s="763"/>
      <c r="B99" s="775"/>
      <c r="C99" s="776"/>
      <c r="D99" s="776"/>
      <c r="E99" s="776"/>
      <c r="F99" s="776"/>
      <c r="G99" s="777"/>
      <c r="H99" s="1015"/>
      <c r="I99" s="874"/>
      <c r="J99" s="816"/>
      <c r="K99" s="817"/>
      <c r="L99" s="807"/>
      <c r="M99" s="808"/>
      <c r="N99" s="808"/>
      <c r="O99" s="808"/>
      <c r="P99" s="808"/>
      <c r="Q99" s="641"/>
      <c r="R99" s="829"/>
      <c r="S99" s="830"/>
      <c r="T99" s="832"/>
      <c r="U99" s="837"/>
      <c r="V99" s="38"/>
      <c r="W99" s="40"/>
      <c r="X99" s="40"/>
      <c r="Y99" s="38"/>
      <c r="Z99" s="43"/>
      <c r="AA99" s="43"/>
      <c r="AB99" s="38"/>
      <c r="AC99" s="38">
        <f t="shared" si="0"/>
        <v>0</v>
      </c>
      <c r="AD99" s="38"/>
    </row>
    <row r="100" spans="1:30" ht="14.25" customHeight="1" thickBot="1" x14ac:dyDescent="0.3">
      <c r="A100" s="763"/>
      <c r="B100" s="1005"/>
      <c r="C100" s="1006"/>
      <c r="D100" s="1006"/>
      <c r="E100" s="1006"/>
      <c r="F100" s="1006"/>
      <c r="G100" s="1007"/>
      <c r="H100" s="1016"/>
      <c r="I100" s="875"/>
      <c r="J100" s="876"/>
      <c r="K100" s="877"/>
      <c r="L100" s="645"/>
      <c r="M100" s="646"/>
      <c r="N100" s="646"/>
      <c r="O100" s="646"/>
      <c r="P100" s="647"/>
      <c r="Q100" s="642"/>
      <c r="R100" s="643"/>
      <c r="S100" s="644"/>
      <c r="T100" s="832"/>
      <c r="U100" s="856"/>
      <c r="V100" s="38"/>
      <c r="W100" s="40"/>
      <c r="X100" s="40"/>
      <c r="Y100" s="38"/>
      <c r="Z100" s="43"/>
      <c r="AA100" s="43"/>
      <c r="AB100" s="38"/>
      <c r="AC100" s="38">
        <f t="shared" si="0"/>
        <v>0</v>
      </c>
      <c r="AD100" s="38"/>
    </row>
    <row r="101" spans="1:30" ht="14.25" customHeight="1" thickBot="1" x14ac:dyDescent="0.3">
      <c r="A101" s="763"/>
      <c r="B101" s="1055" t="s">
        <v>167</v>
      </c>
      <c r="C101" s="1056"/>
      <c r="D101" s="1056"/>
      <c r="E101" s="1056"/>
      <c r="F101" s="1056"/>
      <c r="G101" s="1056"/>
      <c r="H101" s="1117"/>
      <c r="I101" s="1055">
        <f>IF(J32=T8,I57,J32)</f>
        <v>0</v>
      </c>
      <c r="J101" s="1056"/>
      <c r="K101" s="1131"/>
      <c r="L101" s="930">
        <f>SUM(R77:S100)</f>
        <v>0</v>
      </c>
      <c r="M101" s="931"/>
      <c r="N101" s="931"/>
      <c r="O101" s="931"/>
      <c r="P101" s="931"/>
      <c r="Q101" s="811"/>
      <c r="R101" s="812"/>
      <c r="S101" s="813"/>
      <c r="T101" s="919"/>
      <c r="U101" s="831"/>
      <c r="V101" s="38"/>
      <c r="W101" s="41">
        <f>SUM(W77:W93)</f>
        <v>6.5000000000000002E-2</v>
      </c>
      <c r="X101" s="41">
        <f>SUM(X77:X93)</f>
        <v>6.7500000000000004E-2</v>
      </c>
      <c r="Y101" s="38"/>
      <c r="Z101" s="38"/>
      <c r="AA101" s="38"/>
      <c r="AB101" s="38"/>
      <c r="AC101" s="38">
        <f t="shared" si="0"/>
        <v>0</v>
      </c>
      <c r="AD101" s="38"/>
    </row>
    <row r="102" spans="1:30" ht="14.25" customHeight="1" thickBot="1" x14ac:dyDescent="0.3">
      <c r="A102" s="763"/>
      <c r="B102" s="1057"/>
      <c r="C102" s="1058"/>
      <c r="D102" s="1058"/>
      <c r="E102" s="1058"/>
      <c r="F102" s="1058"/>
      <c r="G102" s="1058"/>
      <c r="H102" s="1118"/>
      <c r="I102" s="1057"/>
      <c r="J102" s="1058"/>
      <c r="K102" s="1132"/>
      <c r="L102" s="932"/>
      <c r="M102" s="933"/>
      <c r="N102" s="933"/>
      <c r="O102" s="933"/>
      <c r="P102" s="933"/>
      <c r="Q102" s="811"/>
      <c r="R102" s="812"/>
      <c r="S102" s="813"/>
      <c r="T102" s="920"/>
      <c r="U102" s="832"/>
      <c r="V102" s="38"/>
      <c r="W102" s="42"/>
      <c r="X102" s="42"/>
      <c r="Y102" s="38"/>
      <c r="Z102" s="38"/>
      <c r="AA102" s="38"/>
      <c r="AB102" s="38"/>
      <c r="AC102" s="38">
        <f t="shared" si="0"/>
        <v>0</v>
      </c>
      <c r="AD102" s="38"/>
    </row>
    <row r="103" spans="1:30" ht="14.25" customHeight="1" thickBot="1" x14ac:dyDescent="0.3">
      <c r="A103" s="763"/>
      <c r="B103" s="1059"/>
      <c r="C103" s="1060"/>
      <c r="D103" s="1060"/>
      <c r="E103" s="1060"/>
      <c r="F103" s="1060"/>
      <c r="G103" s="1060"/>
      <c r="H103" s="1119"/>
      <c r="I103" s="1059"/>
      <c r="J103" s="1060"/>
      <c r="K103" s="1133"/>
      <c r="L103" s="934"/>
      <c r="M103" s="935"/>
      <c r="N103" s="935"/>
      <c r="O103" s="935"/>
      <c r="P103" s="935"/>
      <c r="Q103" s="811"/>
      <c r="R103" s="812"/>
      <c r="S103" s="813"/>
      <c r="T103" s="921"/>
      <c r="U103" s="833"/>
      <c r="V103" s="38"/>
      <c r="W103" s="42"/>
      <c r="X103" s="42"/>
      <c r="Y103" s="38"/>
      <c r="Z103" s="38"/>
      <c r="AA103" s="38"/>
      <c r="AB103" s="38"/>
      <c r="AC103" s="38">
        <f t="shared" si="0"/>
        <v>0</v>
      </c>
      <c r="AD103" s="38"/>
    </row>
    <row r="104" spans="1:30" ht="14.25" customHeight="1" thickBot="1" x14ac:dyDescent="0.3">
      <c r="A104" s="763"/>
      <c r="B104" s="790" t="s">
        <v>199</v>
      </c>
      <c r="C104" s="791"/>
      <c r="D104" s="791"/>
      <c r="E104" s="791"/>
      <c r="F104" s="791"/>
      <c r="G104" s="309">
        <f>COUNTIF(H77:H100,"ja")</f>
        <v>8</v>
      </c>
      <c r="I104" s="869"/>
      <c r="J104" s="870"/>
      <c r="K104" s="879"/>
      <c r="L104" s="793"/>
      <c r="M104" s="794"/>
      <c r="N104" s="794"/>
      <c r="O104" s="794"/>
      <c r="P104" s="794"/>
      <c r="Q104" s="133"/>
      <c r="R104" s="795"/>
      <c r="S104" s="796"/>
      <c r="T104" s="623"/>
      <c r="U104" s="624" t="s">
        <v>170</v>
      </c>
      <c r="V104" s="38"/>
      <c r="W104" s="38">
        <f>IF(AND(B101=T18,I104=""),1,0)</f>
        <v>0</v>
      </c>
      <c r="X104" s="633">
        <f>G132</f>
        <v>6</v>
      </c>
      <c r="Y104" s="96" t="s">
        <v>200</v>
      </c>
      <c r="Z104" s="96"/>
      <c r="AA104" s="96"/>
      <c r="AB104" s="38"/>
      <c r="AC104" s="38">
        <f t="shared" si="0"/>
        <v>0</v>
      </c>
      <c r="AD104" s="38"/>
    </row>
    <row r="105" spans="1:30" ht="14.25" customHeight="1" thickBot="1" x14ac:dyDescent="0.3">
      <c r="A105" s="763"/>
      <c r="B105" s="1114" t="s">
        <v>201</v>
      </c>
      <c r="C105" s="1115"/>
      <c r="D105" s="1115"/>
      <c r="E105" s="1115"/>
      <c r="F105" s="1115"/>
      <c r="G105" s="1116"/>
      <c r="H105" s="1105" t="s">
        <v>106</v>
      </c>
      <c r="I105" s="873">
        <f>IF(I52="Gebäude",W129,X129)</f>
        <v>0.14650000000000002</v>
      </c>
      <c r="J105" s="814">
        <f>I105*I101</f>
        <v>0</v>
      </c>
      <c r="K105" s="815"/>
      <c r="L105" s="799" t="s">
        <v>202</v>
      </c>
      <c r="M105" s="800"/>
      <c r="N105" s="800"/>
      <c r="O105" s="800"/>
      <c r="P105" s="800"/>
      <c r="Q105" s="797" t="s">
        <v>106</v>
      </c>
      <c r="R105" s="803"/>
      <c r="S105" s="804"/>
      <c r="T105" s="831" t="str">
        <f>IFERROR(IF((VLOOKUP(U105,Überblick!$M$124:$N$132,2))="ja","ja","nein"),"")</f>
        <v/>
      </c>
      <c r="U105" s="835"/>
      <c r="V105" s="38">
        <f>IF(AND(Q105="ja",R105=""),1,0)</f>
        <v>1</v>
      </c>
      <c r="W105" s="40">
        <f>IF(H105="ja",Z105,0)</f>
        <v>0.11</v>
      </c>
      <c r="X105" s="40">
        <f>IF(H105="ja",AA105,0)</f>
        <v>0.11</v>
      </c>
      <c r="Y105" s="38" t="s">
        <v>203</v>
      </c>
      <c r="Z105" s="43">
        <v>0.11</v>
      </c>
      <c r="AA105" s="43">
        <v>0.11</v>
      </c>
      <c r="AB105" s="38"/>
      <c r="AC105" s="38">
        <f t="shared" si="0"/>
        <v>1</v>
      </c>
      <c r="AD105" s="38">
        <f>IF(AND(I105+SUM(V105:V128)&gt;0,U105=""),1,0)</f>
        <v>1</v>
      </c>
    </row>
    <row r="106" spans="1:30" ht="14.25" customHeight="1" thickBot="1" x14ac:dyDescent="0.3">
      <c r="A106" s="763"/>
      <c r="B106" s="784"/>
      <c r="C106" s="785"/>
      <c r="D106" s="785"/>
      <c r="E106" s="785"/>
      <c r="F106" s="785"/>
      <c r="G106" s="786"/>
      <c r="H106" s="878"/>
      <c r="I106" s="874"/>
      <c r="J106" s="816"/>
      <c r="K106" s="817"/>
      <c r="L106" s="801"/>
      <c r="M106" s="802"/>
      <c r="N106" s="802"/>
      <c r="O106" s="802"/>
      <c r="P106" s="802"/>
      <c r="Q106" s="798"/>
      <c r="R106" s="805"/>
      <c r="S106" s="806"/>
      <c r="T106" s="832"/>
      <c r="U106" s="835"/>
      <c r="V106" s="38"/>
      <c r="W106" s="40"/>
      <c r="X106" s="40"/>
      <c r="Y106" s="38"/>
      <c r="Z106" s="38"/>
      <c r="AA106" s="38"/>
      <c r="AB106" s="38"/>
      <c r="AC106" s="38">
        <f t="shared" si="0"/>
        <v>0</v>
      </c>
      <c r="AD106" s="38"/>
    </row>
    <row r="107" spans="1:30" ht="15" customHeight="1" thickBot="1" x14ac:dyDescent="0.3">
      <c r="A107" s="763"/>
      <c r="B107" s="784"/>
      <c r="C107" s="785"/>
      <c r="D107" s="785"/>
      <c r="E107" s="785"/>
      <c r="F107" s="785"/>
      <c r="G107" s="786"/>
      <c r="H107" s="878"/>
      <c r="I107" s="874"/>
      <c r="J107" s="816"/>
      <c r="K107" s="817"/>
      <c r="L107" s="1143" t="s">
        <v>204</v>
      </c>
      <c r="M107" s="1144"/>
      <c r="N107" s="1144"/>
      <c r="O107" s="1144"/>
      <c r="P107" s="1145"/>
      <c r="Q107" s="822" t="s">
        <v>106</v>
      </c>
      <c r="R107" s="840"/>
      <c r="S107" s="841"/>
      <c r="T107" s="832"/>
      <c r="U107" s="835"/>
      <c r="V107" s="38">
        <f>IF(AND(Q107="ja",R107=""),1,0)</f>
        <v>1</v>
      </c>
      <c r="W107" s="40"/>
      <c r="X107" s="40"/>
      <c r="Y107" s="38"/>
      <c r="Z107" s="38"/>
      <c r="AA107" s="38"/>
      <c r="AB107" s="38"/>
      <c r="AC107" s="38">
        <f t="shared" si="0"/>
        <v>1</v>
      </c>
      <c r="AD107" s="38"/>
    </row>
    <row r="108" spans="1:30" ht="14.25" customHeight="1" thickBot="1" x14ac:dyDescent="0.3">
      <c r="A108" s="763"/>
      <c r="B108" s="784"/>
      <c r="C108" s="785"/>
      <c r="D108" s="785"/>
      <c r="E108" s="785"/>
      <c r="F108" s="785"/>
      <c r="G108" s="786"/>
      <c r="H108" s="878"/>
      <c r="I108" s="874"/>
      <c r="J108" s="816"/>
      <c r="K108" s="817"/>
      <c r="L108" s="1146"/>
      <c r="M108" s="1147"/>
      <c r="N108" s="1147"/>
      <c r="O108" s="1147"/>
      <c r="P108" s="1148"/>
      <c r="Q108" s="839"/>
      <c r="R108" s="818"/>
      <c r="S108" s="819"/>
      <c r="T108" s="832"/>
      <c r="U108" s="835"/>
      <c r="V108" s="38"/>
      <c r="W108" s="40"/>
      <c r="X108" s="40"/>
      <c r="Y108" s="38"/>
      <c r="Z108" s="38"/>
      <c r="AA108" s="38"/>
      <c r="AB108" s="38"/>
      <c r="AC108" s="38">
        <f t="shared" si="0"/>
        <v>0</v>
      </c>
      <c r="AD108" s="38"/>
    </row>
    <row r="109" spans="1:30" ht="14.25" customHeight="1" thickBot="1" x14ac:dyDescent="0.3">
      <c r="A109" s="763"/>
      <c r="B109" s="784"/>
      <c r="C109" s="785"/>
      <c r="D109" s="785"/>
      <c r="E109" s="785"/>
      <c r="F109" s="785"/>
      <c r="G109" s="786"/>
      <c r="H109" s="878"/>
      <c r="I109" s="874"/>
      <c r="J109" s="816"/>
      <c r="K109" s="817"/>
      <c r="L109" s="1149"/>
      <c r="M109" s="1150"/>
      <c r="N109" s="1150"/>
      <c r="O109" s="1150"/>
      <c r="P109" s="1151"/>
      <c r="Q109" s="823"/>
      <c r="R109" s="820"/>
      <c r="S109" s="821"/>
      <c r="T109" s="832"/>
      <c r="U109" s="835"/>
      <c r="V109" s="38">
        <f>IF(AND(Q109="ja",R109=""),1,0)</f>
        <v>0</v>
      </c>
      <c r="W109" s="40"/>
      <c r="X109" s="40"/>
      <c r="Y109" s="38"/>
      <c r="Z109" s="38"/>
      <c r="AA109" s="38"/>
      <c r="AB109" s="38"/>
      <c r="AC109" s="38">
        <f t="shared" si="0"/>
        <v>0</v>
      </c>
      <c r="AD109" s="38"/>
    </row>
    <row r="110" spans="1:30" ht="14.25" customHeight="1" thickBot="1" x14ac:dyDescent="0.3">
      <c r="A110" s="763"/>
      <c r="B110" s="784"/>
      <c r="C110" s="785"/>
      <c r="D110" s="785"/>
      <c r="E110" s="785"/>
      <c r="F110" s="785"/>
      <c r="G110" s="786"/>
      <c r="H110" s="878"/>
      <c r="I110" s="874"/>
      <c r="J110" s="816"/>
      <c r="K110" s="817"/>
      <c r="L110" s="1140" t="s">
        <v>684</v>
      </c>
      <c r="M110" s="1141"/>
      <c r="N110" s="1141"/>
      <c r="O110" s="1141"/>
      <c r="P110" s="1142"/>
      <c r="Q110" s="641" t="s">
        <v>106</v>
      </c>
      <c r="R110" s="805"/>
      <c r="S110" s="806"/>
      <c r="T110" s="832"/>
      <c r="U110" s="835"/>
      <c r="V110" s="38"/>
      <c r="W110" s="40"/>
      <c r="X110" s="40"/>
      <c r="Y110" s="38"/>
      <c r="Z110" s="38"/>
      <c r="AA110" s="38"/>
      <c r="AB110" s="38"/>
      <c r="AC110" s="38">
        <f t="shared" si="0"/>
        <v>1</v>
      </c>
      <c r="AD110" s="38"/>
    </row>
    <row r="111" spans="1:30" ht="14.25" customHeight="1" thickBot="1" x14ac:dyDescent="0.3">
      <c r="A111" s="763"/>
      <c r="B111" s="784"/>
      <c r="C111" s="785"/>
      <c r="D111" s="785"/>
      <c r="E111" s="785"/>
      <c r="F111" s="785"/>
      <c r="G111" s="786"/>
      <c r="H111" s="878"/>
      <c r="I111" s="874"/>
      <c r="J111" s="816"/>
      <c r="K111" s="817"/>
      <c r="L111" s="807" t="s">
        <v>685</v>
      </c>
      <c r="M111" s="808"/>
      <c r="N111" s="808"/>
      <c r="O111" s="808"/>
      <c r="P111" s="808"/>
      <c r="Q111" s="244" t="s">
        <v>106</v>
      </c>
      <c r="R111" s="805"/>
      <c r="S111" s="806"/>
      <c r="T111" s="832"/>
      <c r="U111" s="835"/>
      <c r="V111" s="38">
        <f>IF(AND(Q111="ja",R111=""),1,0)</f>
        <v>1</v>
      </c>
      <c r="W111" s="40"/>
      <c r="X111" s="40"/>
      <c r="Y111" s="38"/>
      <c r="Z111" s="38"/>
      <c r="AA111" s="38"/>
      <c r="AB111" s="38"/>
      <c r="AC111" s="38">
        <f t="shared" si="0"/>
        <v>1</v>
      </c>
      <c r="AD111" s="38"/>
    </row>
    <row r="112" spans="1:30" ht="14.25" customHeight="1" thickBot="1" x14ac:dyDescent="0.3">
      <c r="A112" s="763"/>
      <c r="B112" s="784"/>
      <c r="C112" s="785"/>
      <c r="D112" s="785"/>
      <c r="E112" s="785"/>
      <c r="F112" s="785"/>
      <c r="G112" s="786"/>
      <c r="H112" s="878"/>
      <c r="I112" s="874"/>
      <c r="J112" s="816"/>
      <c r="K112" s="817"/>
      <c r="L112" s="1152" t="s">
        <v>205</v>
      </c>
      <c r="M112" s="1153"/>
      <c r="N112" s="1153"/>
      <c r="O112" s="1153"/>
      <c r="P112" s="1154"/>
      <c r="Q112" s="822" t="s">
        <v>106</v>
      </c>
      <c r="R112" s="840"/>
      <c r="S112" s="841"/>
      <c r="T112" s="832"/>
      <c r="U112" s="835"/>
      <c r="V112" s="38">
        <f>IF(AND(Q112="ja",R112=""),1,0)</f>
        <v>1</v>
      </c>
      <c r="W112" s="40"/>
      <c r="X112" s="40"/>
      <c r="Y112" s="38"/>
      <c r="Z112" s="38"/>
      <c r="AA112" s="38"/>
      <c r="AB112" s="38"/>
      <c r="AC112" s="38">
        <f t="shared" si="0"/>
        <v>1</v>
      </c>
      <c r="AD112" s="38"/>
    </row>
    <row r="113" spans="1:30" ht="14.25" customHeight="1" thickBot="1" x14ac:dyDescent="0.3">
      <c r="A113" s="763"/>
      <c r="B113" s="784"/>
      <c r="C113" s="785"/>
      <c r="D113" s="785"/>
      <c r="E113" s="785"/>
      <c r="F113" s="785"/>
      <c r="G113" s="786"/>
      <c r="H113" s="878"/>
      <c r="I113" s="874"/>
      <c r="J113" s="816"/>
      <c r="K113" s="817"/>
      <c r="L113" s="849"/>
      <c r="M113" s="1155"/>
      <c r="N113" s="1155"/>
      <c r="O113" s="1155"/>
      <c r="P113" s="851"/>
      <c r="Q113" s="839"/>
      <c r="R113" s="818"/>
      <c r="S113" s="819"/>
      <c r="T113" s="832"/>
      <c r="U113" s="835"/>
      <c r="V113" s="38">
        <f>IF(AND(Q113="ja",R113=""),1,0)</f>
        <v>0</v>
      </c>
      <c r="W113" s="40"/>
      <c r="X113" s="40"/>
      <c r="Y113" s="38"/>
      <c r="Z113" s="38"/>
      <c r="AA113" s="38"/>
      <c r="AB113" s="38"/>
      <c r="AC113" s="38">
        <f t="shared" si="0"/>
        <v>0</v>
      </c>
      <c r="AD113" s="38"/>
    </row>
    <row r="114" spans="1:30" ht="14.25" customHeight="1" thickBot="1" x14ac:dyDescent="0.3">
      <c r="A114" s="763"/>
      <c r="B114" s="784"/>
      <c r="C114" s="785"/>
      <c r="D114" s="785"/>
      <c r="E114" s="785"/>
      <c r="F114" s="785"/>
      <c r="G114" s="786"/>
      <c r="H114" s="878"/>
      <c r="I114" s="874"/>
      <c r="J114" s="816"/>
      <c r="K114" s="817"/>
      <c r="L114" s="852"/>
      <c r="M114" s="853"/>
      <c r="N114" s="853"/>
      <c r="O114" s="853"/>
      <c r="P114" s="854"/>
      <c r="Q114" s="823"/>
      <c r="R114" s="820"/>
      <c r="S114" s="821"/>
      <c r="T114" s="832"/>
      <c r="U114" s="835"/>
      <c r="V114" s="38">
        <f>IF(AND(Q114="ja",R114=""),1,0)</f>
        <v>0</v>
      </c>
      <c r="W114" s="40"/>
      <c r="X114" s="40"/>
      <c r="Y114" s="38"/>
      <c r="Z114" s="38"/>
      <c r="AA114" s="38"/>
      <c r="AB114" s="38"/>
      <c r="AC114" s="38">
        <f t="shared" si="0"/>
        <v>0</v>
      </c>
      <c r="AD114" s="38"/>
    </row>
    <row r="115" spans="1:30" ht="14.25" customHeight="1" thickBot="1" x14ac:dyDescent="0.3">
      <c r="A115" s="763"/>
      <c r="B115" s="784"/>
      <c r="C115" s="785"/>
      <c r="D115" s="785"/>
      <c r="E115" s="785"/>
      <c r="F115" s="785"/>
      <c r="G115" s="786"/>
      <c r="H115" s="878"/>
      <c r="I115" s="874"/>
      <c r="J115" s="816"/>
      <c r="K115" s="817"/>
      <c r="L115" s="807"/>
      <c r="M115" s="808"/>
      <c r="N115" s="808"/>
      <c r="O115" s="808"/>
      <c r="P115" s="808"/>
      <c r="Q115" s="641"/>
      <c r="R115" s="829"/>
      <c r="S115" s="830"/>
      <c r="T115" s="832"/>
      <c r="U115" s="835"/>
      <c r="V115" s="38"/>
      <c r="W115" s="40"/>
      <c r="X115" s="40"/>
      <c r="Y115" s="38"/>
      <c r="Z115" s="38"/>
      <c r="AA115" s="38"/>
      <c r="AB115" s="38"/>
      <c r="AC115" s="38">
        <f t="shared" si="0"/>
        <v>0</v>
      </c>
      <c r="AD115" s="38"/>
    </row>
    <row r="116" spans="1:30" ht="14.25" customHeight="1" thickBot="1" x14ac:dyDescent="0.3">
      <c r="A116" s="763"/>
      <c r="B116" s="784"/>
      <c r="C116" s="785"/>
      <c r="D116" s="785"/>
      <c r="E116" s="785"/>
      <c r="F116" s="785"/>
      <c r="G116" s="786"/>
      <c r="H116" s="878"/>
      <c r="I116" s="874"/>
      <c r="J116" s="816"/>
      <c r="K116" s="817"/>
      <c r="L116" s="807"/>
      <c r="M116" s="808"/>
      <c r="N116" s="808"/>
      <c r="O116" s="808"/>
      <c r="P116" s="808"/>
      <c r="Q116" s="641"/>
      <c r="R116" s="829"/>
      <c r="S116" s="830"/>
      <c r="T116" s="832"/>
      <c r="U116" s="835"/>
      <c r="V116" s="38"/>
      <c r="W116" s="40"/>
      <c r="X116" s="40"/>
      <c r="Y116" s="38"/>
      <c r="Z116" s="38"/>
      <c r="AA116" s="38"/>
      <c r="AB116" s="38"/>
      <c r="AC116" s="38">
        <f t="shared" si="0"/>
        <v>0</v>
      </c>
      <c r="AD116" s="38"/>
    </row>
    <row r="117" spans="1:30" ht="14.25" customHeight="1" thickBot="1" x14ac:dyDescent="0.3">
      <c r="A117" s="763"/>
      <c r="B117" s="784"/>
      <c r="C117" s="785"/>
      <c r="D117" s="785"/>
      <c r="E117" s="785"/>
      <c r="F117" s="785"/>
      <c r="G117" s="786"/>
      <c r="H117" s="878"/>
      <c r="I117" s="874"/>
      <c r="J117" s="816"/>
      <c r="K117" s="817"/>
      <c r="L117" s="807"/>
      <c r="M117" s="808"/>
      <c r="N117" s="808"/>
      <c r="O117" s="808"/>
      <c r="P117" s="808"/>
      <c r="Q117" s="641"/>
      <c r="R117" s="829"/>
      <c r="S117" s="830"/>
      <c r="T117" s="832"/>
      <c r="U117" s="835"/>
      <c r="V117" s="38">
        <f>IF(AND(Q117="ja",R117=""),1,0)</f>
        <v>0</v>
      </c>
      <c r="W117" s="40"/>
      <c r="X117" s="40"/>
      <c r="Y117" s="38"/>
      <c r="Z117" s="38"/>
      <c r="AA117" s="38"/>
      <c r="AB117" s="38"/>
      <c r="AC117" s="38">
        <f t="shared" si="0"/>
        <v>0</v>
      </c>
      <c r="AD117" s="38"/>
    </row>
    <row r="118" spans="1:30" ht="14.25" customHeight="1" thickBot="1" x14ac:dyDescent="0.3">
      <c r="A118" s="763"/>
      <c r="B118" s="784"/>
      <c r="C118" s="785"/>
      <c r="D118" s="785"/>
      <c r="E118" s="785"/>
      <c r="F118" s="785"/>
      <c r="G118" s="786"/>
      <c r="H118" s="878"/>
      <c r="I118" s="874"/>
      <c r="J118" s="816"/>
      <c r="K118" s="817"/>
      <c r="L118" s="807"/>
      <c r="M118" s="808"/>
      <c r="N118" s="808"/>
      <c r="O118" s="808"/>
      <c r="P118" s="808"/>
      <c r="Q118" s="641"/>
      <c r="R118" s="829"/>
      <c r="S118" s="830"/>
      <c r="T118" s="832"/>
      <c r="U118" s="835"/>
      <c r="V118" s="38"/>
      <c r="W118" s="40"/>
      <c r="X118" s="40"/>
      <c r="Y118" s="38"/>
      <c r="Z118" s="38"/>
      <c r="AA118" s="38"/>
      <c r="AB118" s="38"/>
      <c r="AC118" s="38">
        <f t="shared" si="0"/>
        <v>0</v>
      </c>
      <c r="AD118" s="38"/>
    </row>
    <row r="119" spans="1:30" ht="14.25" customHeight="1" thickBot="1" x14ac:dyDescent="0.3">
      <c r="A119" s="763"/>
      <c r="B119" s="781" t="s">
        <v>192</v>
      </c>
      <c r="C119" s="782"/>
      <c r="D119" s="782"/>
      <c r="E119" s="782"/>
      <c r="F119" s="782"/>
      <c r="G119" s="783"/>
      <c r="H119" s="878" t="s">
        <v>106</v>
      </c>
      <c r="I119" s="874"/>
      <c r="J119" s="816"/>
      <c r="K119" s="817"/>
      <c r="L119" s="807"/>
      <c r="M119" s="808"/>
      <c r="N119" s="808"/>
      <c r="O119" s="808"/>
      <c r="P119" s="808"/>
      <c r="Q119" s="641"/>
      <c r="R119" s="829"/>
      <c r="S119" s="830"/>
      <c r="T119" s="832"/>
      <c r="U119" s="835"/>
      <c r="V119" s="38"/>
      <c r="W119" s="40">
        <f>IF(H119="ja",Z119,0)</f>
        <v>1.15E-2</v>
      </c>
      <c r="X119" s="40">
        <f>IF(H119="ja",AA119,0)</f>
        <v>1.4999999999999999E-2</v>
      </c>
      <c r="Y119" s="38" t="s">
        <v>177</v>
      </c>
      <c r="Z119" s="43">
        <v>1.15E-2</v>
      </c>
      <c r="AA119" s="43">
        <v>1.4999999999999999E-2</v>
      </c>
      <c r="AB119" s="38"/>
      <c r="AC119" s="38">
        <f t="shared" si="0"/>
        <v>0</v>
      </c>
      <c r="AD119" s="38"/>
    </row>
    <row r="120" spans="1:30" ht="14.25" customHeight="1" thickBot="1" x14ac:dyDescent="0.3">
      <c r="A120" s="763"/>
      <c r="B120" s="784"/>
      <c r="C120" s="785"/>
      <c r="D120" s="785"/>
      <c r="E120" s="785"/>
      <c r="F120" s="785"/>
      <c r="G120" s="786"/>
      <c r="H120" s="878"/>
      <c r="I120" s="874"/>
      <c r="J120" s="816"/>
      <c r="K120" s="817"/>
      <c r="L120" s="807"/>
      <c r="M120" s="808"/>
      <c r="N120" s="808"/>
      <c r="O120" s="808"/>
      <c r="P120" s="808"/>
      <c r="Q120" s="641"/>
      <c r="R120" s="829"/>
      <c r="S120" s="830"/>
      <c r="T120" s="832"/>
      <c r="U120" s="835"/>
      <c r="V120" s="38">
        <f>IF(AND(Q120="ja",R120=""),1,0)</f>
        <v>0</v>
      </c>
      <c r="W120" s="40"/>
      <c r="X120" s="40"/>
      <c r="Y120" s="38"/>
      <c r="Z120" s="38"/>
      <c r="AA120" s="38"/>
      <c r="AB120" s="38"/>
      <c r="AC120" s="38">
        <f t="shared" si="0"/>
        <v>0</v>
      </c>
      <c r="AD120" s="38"/>
    </row>
    <row r="121" spans="1:30" ht="14.25" customHeight="1" thickBot="1" x14ac:dyDescent="0.3">
      <c r="A121" s="763"/>
      <c r="B121" s="787"/>
      <c r="C121" s="788"/>
      <c r="D121" s="788"/>
      <c r="E121" s="788"/>
      <c r="F121" s="788"/>
      <c r="G121" s="789"/>
      <c r="H121" s="878"/>
      <c r="I121" s="874"/>
      <c r="J121" s="816"/>
      <c r="K121" s="817"/>
      <c r="L121" s="807"/>
      <c r="M121" s="808"/>
      <c r="N121" s="808"/>
      <c r="O121" s="808"/>
      <c r="P121" s="808"/>
      <c r="Q121" s="641"/>
      <c r="R121" s="829"/>
      <c r="S121" s="830"/>
      <c r="T121" s="832"/>
      <c r="U121" s="835"/>
      <c r="V121" s="38"/>
      <c r="W121" s="40"/>
      <c r="X121" s="40"/>
      <c r="Y121" s="38"/>
      <c r="Z121" s="38"/>
      <c r="AA121" s="38"/>
      <c r="AB121" s="38"/>
      <c r="AC121" s="38">
        <f t="shared" si="0"/>
        <v>0</v>
      </c>
      <c r="AD121" s="38"/>
    </row>
    <row r="122" spans="1:30" ht="14.25" customHeight="1" thickBot="1" x14ac:dyDescent="0.3">
      <c r="A122" s="763"/>
      <c r="B122" s="1111" t="s">
        <v>207</v>
      </c>
      <c r="C122" s="1112"/>
      <c r="D122" s="1112"/>
      <c r="E122" s="1112"/>
      <c r="F122" s="1112"/>
      <c r="G122" s="1113"/>
      <c r="H122" s="235" t="s">
        <v>106</v>
      </c>
      <c r="I122" s="874"/>
      <c r="J122" s="816"/>
      <c r="K122" s="817"/>
      <c r="L122" s="807"/>
      <c r="M122" s="808"/>
      <c r="N122" s="808"/>
      <c r="O122" s="808"/>
      <c r="P122" s="808"/>
      <c r="Q122" s="641"/>
      <c r="R122" s="829"/>
      <c r="S122" s="830"/>
      <c r="T122" s="832"/>
      <c r="U122" s="835"/>
      <c r="V122" s="38"/>
      <c r="W122" s="40">
        <f>IF(H122="ja",Z122,0)</f>
        <v>4.0000000000000001E-3</v>
      </c>
      <c r="X122" s="40">
        <f>IF(H122="ja",AA122,0)</f>
        <v>5.0000000000000001E-3</v>
      </c>
      <c r="Y122" s="38" t="s">
        <v>208</v>
      </c>
      <c r="Z122" s="43">
        <v>4.0000000000000001E-3</v>
      </c>
      <c r="AA122" s="43">
        <v>5.0000000000000001E-3</v>
      </c>
      <c r="AB122" s="38"/>
      <c r="AC122" s="38">
        <f t="shared" si="0"/>
        <v>0</v>
      </c>
      <c r="AD122" s="38"/>
    </row>
    <row r="123" spans="1:30" ht="14.25" customHeight="1" thickBot="1" x14ac:dyDescent="0.3">
      <c r="A123" s="763"/>
      <c r="B123" s="1111" t="s">
        <v>209</v>
      </c>
      <c r="C123" s="1112"/>
      <c r="D123" s="1112"/>
      <c r="E123" s="1112"/>
      <c r="F123" s="1112"/>
      <c r="G123" s="1113"/>
      <c r="H123" s="235" t="s">
        <v>106</v>
      </c>
      <c r="I123" s="874"/>
      <c r="J123" s="816"/>
      <c r="K123" s="817"/>
      <c r="L123" s="807"/>
      <c r="M123" s="808"/>
      <c r="N123" s="808"/>
      <c r="O123" s="808"/>
      <c r="P123" s="808"/>
      <c r="Q123" s="641"/>
      <c r="R123" s="829"/>
      <c r="S123" s="830"/>
      <c r="T123" s="832"/>
      <c r="U123" s="835"/>
      <c r="V123" s="38">
        <f>IF(AND(Q123="ja",R123=""),1,0)</f>
        <v>0</v>
      </c>
      <c r="W123" s="40">
        <f>IF(H123="ja",Z123,0)</f>
        <v>2E-3</v>
      </c>
      <c r="X123" s="40">
        <f>IF(H123="ja",AA123,0)</f>
        <v>2.5000000000000001E-3</v>
      </c>
      <c r="Y123" s="38" t="s">
        <v>181</v>
      </c>
      <c r="Z123" s="43">
        <v>2E-3</v>
      </c>
      <c r="AA123" s="43">
        <v>2.5000000000000001E-3</v>
      </c>
      <c r="AB123" s="38"/>
      <c r="AC123" s="38">
        <f t="shared" si="0"/>
        <v>0</v>
      </c>
      <c r="AD123" s="38"/>
    </row>
    <row r="124" spans="1:30" ht="14.25" customHeight="1" thickBot="1" x14ac:dyDescent="0.3">
      <c r="A124" s="763"/>
      <c r="B124" s="781" t="s">
        <v>210</v>
      </c>
      <c r="C124" s="782"/>
      <c r="D124" s="782"/>
      <c r="E124" s="782"/>
      <c r="F124" s="782"/>
      <c r="G124" s="783"/>
      <c r="H124" s="878" t="s">
        <v>106</v>
      </c>
      <c r="I124" s="874"/>
      <c r="J124" s="816"/>
      <c r="K124" s="817"/>
      <c r="L124" s="807"/>
      <c r="M124" s="808"/>
      <c r="N124" s="808"/>
      <c r="O124" s="808"/>
      <c r="P124" s="808"/>
      <c r="Q124" s="641"/>
      <c r="R124" s="829"/>
      <c r="S124" s="830"/>
      <c r="T124" s="832"/>
      <c r="U124" s="835"/>
      <c r="V124" s="38"/>
      <c r="W124" s="40">
        <f>IF(H124="ja",Z124,0)</f>
        <v>1.2500000000000001E-2</v>
      </c>
      <c r="X124" s="40">
        <f>IF(H124="ja",AA124,0)</f>
        <v>1.2500000000000001E-2</v>
      </c>
      <c r="Y124" s="38" t="s">
        <v>182</v>
      </c>
      <c r="Z124" s="43">
        <v>1.2500000000000001E-2</v>
      </c>
      <c r="AA124" s="43">
        <v>1.2500000000000001E-2</v>
      </c>
      <c r="AB124" s="38"/>
      <c r="AC124" s="38">
        <f t="shared" si="0"/>
        <v>0</v>
      </c>
      <c r="AD124" s="38"/>
    </row>
    <row r="125" spans="1:30" ht="14.25" customHeight="1" thickBot="1" x14ac:dyDescent="0.3">
      <c r="A125" s="763"/>
      <c r="B125" s="787"/>
      <c r="C125" s="788"/>
      <c r="D125" s="788"/>
      <c r="E125" s="788"/>
      <c r="F125" s="788"/>
      <c r="G125" s="789"/>
      <c r="H125" s="878"/>
      <c r="I125" s="874"/>
      <c r="J125" s="816"/>
      <c r="K125" s="817"/>
      <c r="L125" s="807"/>
      <c r="M125" s="808"/>
      <c r="N125" s="808"/>
      <c r="O125" s="808"/>
      <c r="P125" s="808"/>
      <c r="Q125" s="641"/>
      <c r="R125" s="829"/>
      <c r="S125" s="830"/>
      <c r="T125" s="832"/>
      <c r="U125" s="835"/>
      <c r="V125" s="38"/>
      <c r="W125" s="40"/>
      <c r="X125" s="40"/>
      <c r="Y125" s="38"/>
      <c r="Z125" s="38"/>
      <c r="AA125" s="38"/>
      <c r="AB125" s="38"/>
      <c r="AC125" s="38">
        <f t="shared" si="0"/>
        <v>0</v>
      </c>
      <c r="AD125" s="38"/>
    </row>
    <row r="126" spans="1:30" ht="14.25" customHeight="1" thickBot="1" x14ac:dyDescent="0.3">
      <c r="A126" s="763"/>
      <c r="B126" s="992" t="s">
        <v>683</v>
      </c>
      <c r="C126" s="993"/>
      <c r="D126" s="993"/>
      <c r="E126" s="993"/>
      <c r="F126" s="993"/>
      <c r="G126" s="994"/>
      <c r="H126" s="235" t="s">
        <v>107</v>
      </c>
      <c r="I126" s="874"/>
      <c r="J126" s="816"/>
      <c r="K126" s="817"/>
      <c r="L126" s="807"/>
      <c r="M126" s="808"/>
      <c r="N126" s="808"/>
      <c r="O126" s="808"/>
      <c r="P126" s="808"/>
      <c r="Q126" s="641"/>
      <c r="R126" s="829"/>
      <c r="S126" s="830"/>
      <c r="T126" s="832"/>
      <c r="U126" s="835"/>
      <c r="V126" s="38">
        <f>IF(AND(Q126="ja",R126=""),1,0)</f>
        <v>0</v>
      </c>
      <c r="W126" s="40">
        <f>IF(H126="ja",Z126,0)</f>
        <v>0</v>
      </c>
      <c r="X126" s="40">
        <f>IF(H126="ja",AA126,0)</f>
        <v>0</v>
      </c>
      <c r="Y126" s="38" t="s">
        <v>193</v>
      </c>
      <c r="Z126" s="43">
        <v>3.5000000000000001E-3</v>
      </c>
      <c r="AA126" s="43">
        <v>2E-3</v>
      </c>
      <c r="AB126" s="38"/>
      <c r="AC126" s="38">
        <f t="shared" ref="AC126:AC189" si="2">IF(Q126="ja",1,0)</f>
        <v>0</v>
      </c>
      <c r="AD126" s="38"/>
    </row>
    <row r="127" spans="1:30" ht="14.25" customHeight="1" thickBot="1" x14ac:dyDescent="0.3">
      <c r="A127" s="763"/>
      <c r="B127" s="781" t="s">
        <v>184</v>
      </c>
      <c r="C127" s="782"/>
      <c r="D127" s="782"/>
      <c r="E127" s="782"/>
      <c r="F127" s="782"/>
      <c r="G127" s="783"/>
      <c r="H127" s="878" t="s">
        <v>106</v>
      </c>
      <c r="I127" s="874"/>
      <c r="J127" s="816"/>
      <c r="K127" s="817"/>
      <c r="L127" s="807"/>
      <c r="M127" s="808"/>
      <c r="N127" s="808"/>
      <c r="O127" s="808"/>
      <c r="P127" s="808"/>
      <c r="Q127" s="641"/>
      <c r="R127" s="829"/>
      <c r="S127" s="830"/>
      <c r="T127" s="832"/>
      <c r="U127" s="835"/>
      <c r="V127" s="38"/>
      <c r="W127" s="40">
        <f>IF(H127="ja",Z127,0)</f>
        <v>6.4999999999999997E-3</v>
      </c>
      <c r="X127" s="40">
        <f>IF(H127="ja",AA127,0)</f>
        <v>3.0000000000000001E-3</v>
      </c>
      <c r="Y127" s="38" t="s">
        <v>194</v>
      </c>
      <c r="Z127" s="43">
        <v>6.4999999999999997E-3</v>
      </c>
      <c r="AA127" s="43">
        <v>3.0000000000000001E-3</v>
      </c>
      <c r="AB127" s="38"/>
      <c r="AC127" s="38">
        <f t="shared" si="2"/>
        <v>0</v>
      </c>
      <c r="AD127" s="38"/>
    </row>
    <row r="128" spans="1:30" ht="14.25" customHeight="1" thickBot="1" x14ac:dyDescent="0.3">
      <c r="A128" s="763"/>
      <c r="B128" s="784"/>
      <c r="C128" s="785"/>
      <c r="D128" s="785"/>
      <c r="E128" s="785"/>
      <c r="F128" s="785"/>
      <c r="G128" s="786"/>
      <c r="H128" s="898"/>
      <c r="I128" s="875"/>
      <c r="J128" s="876"/>
      <c r="K128" s="877"/>
      <c r="L128" s="807"/>
      <c r="M128" s="808"/>
      <c r="N128" s="808"/>
      <c r="O128" s="808"/>
      <c r="P128" s="808"/>
      <c r="Q128" s="641"/>
      <c r="R128" s="829"/>
      <c r="S128" s="830"/>
      <c r="T128" s="832"/>
      <c r="U128" s="835"/>
      <c r="V128" s="38"/>
      <c r="W128" s="38"/>
      <c r="X128" s="38"/>
      <c r="Y128" s="38"/>
      <c r="Z128" s="38"/>
      <c r="AA128" s="38"/>
      <c r="AB128" s="38"/>
      <c r="AC128" s="38">
        <f t="shared" si="2"/>
        <v>0</v>
      </c>
      <c r="AD128" s="38"/>
    </row>
    <row r="129" spans="1:30" ht="14.25" customHeight="1" thickBot="1" x14ac:dyDescent="0.3">
      <c r="A129" s="763"/>
      <c r="B129" s="1055" t="s">
        <v>167</v>
      </c>
      <c r="C129" s="1056"/>
      <c r="D129" s="1056"/>
      <c r="E129" s="1056"/>
      <c r="F129" s="1056"/>
      <c r="G129" s="1056"/>
      <c r="H129" s="1102">
        <f>COUNTIF(H105:H128,"nein")</f>
        <v>1</v>
      </c>
      <c r="I129" s="1055">
        <f>IF(N32=T9,I101,N32)</f>
        <v>0</v>
      </c>
      <c r="J129" s="1056"/>
      <c r="K129" s="1131"/>
      <c r="L129" s="930">
        <f>SUM(R105:S128)</f>
        <v>0</v>
      </c>
      <c r="M129" s="931"/>
      <c r="N129" s="931"/>
      <c r="O129" s="931"/>
      <c r="P129" s="931"/>
      <c r="Q129" s="811"/>
      <c r="R129" s="812"/>
      <c r="S129" s="813"/>
      <c r="T129" s="919"/>
      <c r="U129" s="831"/>
      <c r="V129" s="38"/>
      <c r="W129" s="41">
        <f>SUM(W105:W127)</f>
        <v>0.14650000000000002</v>
      </c>
      <c r="X129" s="41">
        <f>SUM(X105:X127)</f>
        <v>0.14800000000000002</v>
      </c>
      <c r="Y129" s="38"/>
      <c r="Z129" s="38"/>
      <c r="AA129" s="38"/>
      <c r="AB129" s="38"/>
      <c r="AC129" s="38">
        <f t="shared" si="2"/>
        <v>0</v>
      </c>
      <c r="AD129" s="38"/>
    </row>
    <row r="130" spans="1:30" ht="14.25" customHeight="1" thickBot="1" x14ac:dyDescent="0.3">
      <c r="A130" s="763"/>
      <c r="B130" s="1057"/>
      <c r="C130" s="1058"/>
      <c r="D130" s="1058"/>
      <c r="E130" s="1058"/>
      <c r="F130" s="1058"/>
      <c r="G130" s="1058"/>
      <c r="H130" s="1103"/>
      <c r="I130" s="1057"/>
      <c r="J130" s="1058"/>
      <c r="K130" s="1132"/>
      <c r="L130" s="932"/>
      <c r="M130" s="933"/>
      <c r="N130" s="933"/>
      <c r="O130" s="933"/>
      <c r="P130" s="933"/>
      <c r="Q130" s="811"/>
      <c r="R130" s="812"/>
      <c r="S130" s="813"/>
      <c r="T130" s="920"/>
      <c r="U130" s="832"/>
      <c r="V130" s="38"/>
      <c r="W130" s="42"/>
      <c r="X130" s="42"/>
      <c r="Y130" s="38"/>
      <c r="Z130" s="38"/>
      <c r="AA130" s="38"/>
      <c r="AB130" s="38"/>
      <c r="AC130" s="38">
        <f t="shared" si="2"/>
        <v>0</v>
      </c>
      <c r="AD130" s="38"/>
    </row>
    <row r="131" spans="1:30" ht="14.25" customHeight="1" thickBot="1" x14ac:dyDescent="0.3">
      <c r="A131" s="763"/>
      <c r="B131" s="1059"/>
      <c r="C131" s="1060"/>
      <c r="D131" s="1060"/>
      <c r="E131" s="1060"/>
      <c r="F131" s="1060"/>
      <c r="G131" s="1060"/>
      <c r="H131" s="1104"/>
      <c r="I131" s="1059"/>
      <c r="J131" s="1060"/>
      <c r="K131" s="1133"/>
      <c r="L131" s="934"/>
      <c r="M131" s="935"/>
      <c r="N131" s="935"/>
      <c r="O131" s="935"/>
      <c r="P131" s="935"/>
      <c r="Q131" s="811"/>
      <c r="R131" s="812"/>
      <c r="S131" s="813"/>
      <c r="T131" s="921"/>
      <c r="U131" s="833"/>
      <c r="V131" s="38"/>
      <c r="W131" s="42"/>
      <c r="X131" s="42"/>
      <c r="Y131" s="38"/>
      <c r="Z131" s="38"/>
      <c r="AA131" s="38"/>
      <c r="AB131" s="38"/>
      <c r="AC131" s="38">
        <f t="shared" si="2"/>
        <v>0</v>
      </c>
      <c r="AD131" s="38"/>
    </row>
    <row r="132" spans="1:30" ht="14.25" customHeight="1" thickBot="1" x14ac:dyDescent="0.3">
      <c r="A132" s="763"/>
      <c r="B132" s="1106" t="s">
        <v>212</v>
      </c>
      <c r="C132" s="1107"/>
      <c r="D132" s="1107"/>
      <c r="E132" s="1107"/>
      <c r="F132" s="1107"/>
      <c r="G132" s="656">
        <f>COUNTIF(H105:H128,"ja")</f>
        <v>6</v>
      </c>
      <c r="H132" s="657"/>
      <c r="I132" s="1134"/>
      <c r="J132" s="1135"/>
      <c r="K132" s="1136"/>
      <c r="L132" s="1156"/>
      <c r="M132" s="1157"/>
      <c r="N132" s="1157"/>
      <c r="O132" s="1157"/>
      <c r="P132" s="1157"/>
      <c r="Q132" s="658"/>
      <c r="R132" s="809"/>
      <c r="S132" s="810"/>
      <c r="T132" s="659"/>
      <c r="U132" s="660" t="s">
        <v>170</v>
      </c>
      <c r="V132" s="38"/>
      <c r="W132" s="315">
        <f>IF(AND($B$129=$T$19,I132=""),1,0)</f>
        <v>0</v>
      </c>
      <c r="X132" s="315">
        <f>G142</f>
        <v>2</v>
      </c>
      <c r="Y132" s="96" t="s">
        <v>213</v>
      </c>
      <c r="Z132" s="96"/>
      <c r="AA132" s="96"/>
      <c r="AB132" s="38"/>
      <c r="AC132" s="38">
        <f t="shared" si="2"/>
        <v>0</v>
      </c>
      <c r="AD132" s="38"/>
    </row>
    <row r="133" spans="1:30" ht="14.25" customHeight="1" thickBot="1" x14ac:dyDescent="0.3">
      <c r="A133" s="763"/>
      <c r="B133" s="764" t="s">
        <v>214</v>
      </c>
      <c r="C133" s="765"/>
      <c r="D133" s="765"/>
      <c r="E133" s="765"/>
      <c r="F133" s="765"/>
      <c r="G133" s="766"/>
      <c r="H133" s="1105" t="s">
        <v>106</v>
      </c>
      <c r="I133" s="873">
        <f>IF(I52="Gebäude",W141,X141)</f>
        <v>2.75E-2</v>
      </c>
      <c r="J133" s="814">
        <f>I133*$I$129</f>
        <v>0</v>
      </c>
      <c r="K133" s="815"/>
      <c r="L133" s="807"/>
      <c r="M133" s="808"/>
      <c r="N133" s="808"/>
      <c r="O133" s="808"/>
      <c r="P133" s="808"/>
      <c r="Q133" s="641"/>
      <c r="R133" s="829"/>
      <c r="S133" s="830"/>
      <c r="T133" s="831" t="str">
        <f>IFERROR(IF((VLOOKUP(U133,Überblick!$M$124:$N$132,2))="ja","ja","nein"),"")</f>
        <v/>
      </c>
      <c r="U133" s="835"/>
      <c r="V133" s="38">
        <f>IF(AND(Q133="ja",R133=""),1,0)</f>
        <v>0</v>
      </c>
      <c r="W133" s="40">
        <f>IF(H133="ja",Z133,0)</f>
        <v>2.5000000000000001E-2</v>
      </c>
      <c r="X133" s="40">
        <f>IF(H133="ja",AA133,0)</f>
        <v>1.7999999999999999E-2</v>
      </c>
      <c r="Y133" s="38" t="s">
        <v>203</v>
      </c>
      <c r="Z133" s="43">
        <v>2.5000000000000001E-2</v>
      </c>
      <c r="AA133" s="43">
        <v>1.7999999999999999E-2</v>
      </c>
      <c r="AB133" s="38"/>
      <c r="AC133" s="38">
        <f t="shared" si="2"/>
        <v>0</v>
      </c>
      <c r="AD133" s="38">
        <f>IF(AND(I133+SUM(V133:V141)&gt;0,U133=""),1,0)</f>
        <v>1</v>
      </c>
    </row>
    <row r="134" spans="1:30" ht="14.25" customHeight="1" thickBot="1" x14ac:dyDescent="0.3">
      <c r="A134" s="763"/>
      <c r="B134" s="767"/>
      <c r="C134" s="733"/>
      <c r="D134" s="733"/>
      <c r="E134" s="733"/>
      <c r="F134" s="733"/>
      <c r="G134" s="768"/>
      <c r="H134" s="878"/>
      <c r="I134" s="874"/>
      <c r="J134" s="816"/>
      <c r="K134" s="817"/>
      <c r="L134" s="807"/>
      <c r="M134" s="808"/>
      <c r="N134" s="808"/>
      <c r="O134" s="808"/>
      <c r="P134" s="808"/>
      <c r="Q134" s="641"/>
      <c r="R134" s="829"/>
      <c r="S134" s="830"/>
      <c r="T134" s="832"/>
      <c r="U134" s="835"/>
      <c r="V134" s="38"/>
      <c r="W134" s="42"/>
      <c r="X134" s="42"/>
      <c r="Y134" s="38"/>
      <c r="Z134" s="38"/>
      <c r="AA134" s="38"/>
      <c r="AB134" s="38"/>
      <c r="AC134" s="38">
        <f t="shared" si="2"/>
        <v>0</v>
      </c>
      <c r="AD134" s="38"/>
    </row>
    <row r="135" spans="1:30" ht="14.25" customHeight="1" thickBot="1" x14ac:dyDescent="0.3">
      <c r="A135" s="763"/>
      <c r="B135" s="767"/>
      <c r="C135" s="733"/>
      <c r="D135" s="733"/>
      <c r="E135" s="733"/>
      <c r="F135" s="733"/>
      <c r="G135" s="768"/>
      <c r="H135" s="878"/>
      <c r="I135" s="874"/>
      <c r="J135" s="816"/>
      <c r="K135" s="817"/>
      <c r="L135" s="807"/>
      <c r="M135" s="808"/>
      <c r="N135" s="808"/>
      <c r="O135" s="808"/>
      <c r="P135" s="808"/>
      <c r="Q135" s="641"/>
      <c r="R135" s="829"/>
      <c r="S135" s="830"/>
      <c r="T135" s="832"/>
      <c r="U135" s="835"/>
      <c r="V135" s="38"/>
      <c r="W135" s="42"/>
      <c r="X135" s="42"/>
      <c r="Y135" s="38"/>
      <c r="Z135" s="38"/>
      <c r="AA135" s="38"/>
      <c r="AB135" s="38"/>
      <c r="AC135" s="38">
        <f t="shared" si="2"/>
        <v>0</v>
      </c>
      <c r="AD135" s="38"/>
    </row>
    <row r="136" spans="1:30" ht="14.25" customHeight="1" thickBot="1" x14ac:dyDescent="0.3">
      <c r="A136" s="763"/>
      <c r="B136" s="767"/>
      <c r="C136" s="733"/>
      <c r="D136" s="733"/>
      <c r="E136" s="733"/>
      <c r="F136" s="733"/>
      <c r="G136" s="768"/>
      <c r="H136" s="878"/>
      <c r="I136" s="874"/>
      <c r="J136" s="816"/>
      <c r="K136" s="817"/>
      <c r="L136" s="807"/>
      <c r="M136" s="808"/>
      <c r="N136" s="808"/>
      <c r="O136" s="808"/>
      <c r="P136" s="808"/>
      <c r="Q136" s="641"/>
      <c r="R136" s="829"/>
      <c r="S136" s="830"/>
      <c r="T136" s="832"/>
      <c r="U136" s="835"/>
      <c r="V136" s="38">
        <f>IF(AND(Q136="ja",R136=""),1,0)</f>
        <v>0</v>
      </c>
      <c r="W136" s="42"/>
      <c r="X136" s="661"/>
      <c r="Y136" s="38"/>
      <c r="Z136" s="38"/>
      <c r="AA136" s="38"/>
      <c r="AB136" s="38"/>
      <c r="AC136" s="38">
        <f t="shared" si="2"/>
        <v>0</v>
      </c>
      <c r="AD136" s="38"/>
    </row>
    <row r="137" spans="1:30" ht="14.25" customHeight="1" thickBot="1" x14ac:dyDescent="0.3">
      <c r="A137" s="763"/>
      <c r="B137" s="767"/>
      <c r="C137" s="733"/>
      <c r="D137" s="733"/>
      <c r="E137" s="733"/>
      <c r="F137" s="733"/>
      <c r="G137" s="768"/>
      <c r="H137" s="878"/>
      <c r="I137" s="874"/>
      <c r="J137" s="816"/>
      <c r="K137" s="817"/>
      <c r="L137" s="807"/>
      <c r="M137" s="808"/>
      <c r="N137" s="808"/>
      <c r="O137" s="808"/>
      <c r="P137" s="808"/>
      <c r="Q137" s="641"/>
      <c r="R137" s="829"/>
      <c r="S137" s="830"/>
      <c r="T137" s="832"/>
      <c r="U137" s="835"/>
      <c r="V137" s="38"/>
      <c r="W137" s="42"/>
      <c r="X137" s="42"/>
      <c r="Y137" s="38"/>
      <c r="Z137" s="43"/>
      <c r="AA137" s="38"/>
      <c r="AB137" s="38"/>
      <c r="AC137" s="38">
        <f t="shared" si="2"/>
        <v>0</v>
      </c>
      <c r="AD137" s="38"/>
    </row>
    <row r="138" spans="1:30" ht="14.25" customHeight="1" thickBot="1" x14ac:dyDescent="0.3">
      <c r="A138" s="763"/>
      <c r="B138" s="769"/>
      <c r="C138" s="770"/>
      <c r="D138" s="770"/>
      <c r="E138" s="770"/>
      <c r="F138" s="770"/>
      <c r="G138" s="771"/>
      <c r="H138" s="878"/>
      <c r="I138" s="874"/>
      <c r="J138" s="816"/>
      <c r="K138" s="817"/>
      <c r="L138" s="807"/>
      <c r="M138" s="808"/>
      <c r="N138" s="808"/>
      <c r="O138" s="808"/>
      <c r="P138" s="808"/>
      <c r="Q138" s="641"/>
      <c r="R138" s="829"/>
      <c r="S138" s="830"/>
      <c r="T138" s="832"/>
      <c r="U138" s="835"/>
      <c r="V138" s="38"/>
      <c r="W138" s="42"/>
      <c r="X138" s="42"/>
      <c r="Y138" s="38"/>
      <c r="Z138" s="38"/>
      <c r="AA138" s="38"/>
      <c r="AB138" s="38"/>
      <c r="AC138" s="38">
        <f t="shared" si="2"/>
        <v>0</v>
      </c>
      <c r="AD138" s="38"/>
    </row>
    <row r="139" spans="1:30" ht="14.25" customHeight="1" thickBot="1" x14ac:dyDescent="0.3">
      <c r="A139" s="763"/>
      <c r="B139" s="992" t="s">
        <v>686</v>
      </c>
      <c r="C139" s="993"/>
      <c r="D139" s="993"/>
      <c r="E139" s="993"/>
      <c r="F139" s="993"/>
      <c r="G139" s="994"/>
      <c r="H139" s="235" t="s">
        <v>107</v>
      </c>
      <c r="I139" s="874"/>
      <c r="J139" s="816"/>
      <c r="K139" s="817"/>
      <c r="L139" s="807"/>
      <c r="M139" s="808"/>
      <c r="N139" s="808"/>
      <c r="O139" s="808"/>
      <c r="P139" s="808"/>
      <c r="Q139" s="641"/>
      <c r="R139" s="829"/>
      <c r="S139" s="830"/>
      <c r="T139" s="832"/>
      <c r="U139" s="835"/>
      <c r="V139" s="38">
        <f>IF(AND(Q139="ja",R139=""),1,0)</f>
        <v>0</v>
      </c>
      <c r="W139" s="40">
        <f>IF(H139="ja",Z139,0)</f>
        <v>0</v>
      </c>
      <c r="X139" s="40">
        <f>IF(H139="ja",AA139,0)</f>
        <v>0</v>
      </c>
      <c r="Y139" s="38" t="s">
        <v>177</v>
      </c>
      <c r="Z139" s="43">
        <v>2.5000000000000001E-3</v>
      </c>
      <c r="AA139" s="43">
        <v>1E-3</v>
      </c>
      <c r="AB139" s="38"/>
      <c r="AC139" s="38">
        <f t="shared" si="2"/>
        <v>0</v>
      </c>
      <c r="AD139" s="38"/>
    </row>
    <row r="140" spans="1:30" ht="14.25" customHeight="1" thickBot="1" x14ac:dyDescent="0.3">
      <c r="A140" s="763"/>
      <c r="B140" s="781" t="s">
        <v>215</v>
      </c>
      <c r="C140" s="782"/>
      <c r="D140" s="782"/>
      <c r="E140" s="782"/>
      <c r="F140" s="782"/>
      <c r="G140" s="783"/>
      <c r="H140" s="878" t="s">
        <v>106</v>
      </c>
      <c r="I140" s="874"/>
      <c r="J140" s="816"/>
      <c r="K140" s="817"/>
      <c r="L140" s="807"/>
      <c r="M140" s="808"/>
      <c r="N140" s="808"/>
      <c r="O140" s="808"/>
      <c r="P140" s="808"/>
      <c r="Q140" s="641"/>
      <c r="R140" s="829"/>
      <c r="S140" s="830"/>
      <c r="T140" s="832"/>
      <c r="U140" s="835"/>
      <c r="V140" s="38"/>
      <c r="W140" s="40">
        <f>IF(H140="ja",Z140,0)</f>
        <v>2.5000000000000001E-3</v>
      </c>
      <c r="X140" s="40">
        <f>IF(H140="ja",AA140,0)</f>
        <v>1E-3</v>
      </c>
      <c r="Y140" s="38" t="s">
        <v>208</v>
      </c>
      <c r="Z140" s="43">
        <v>2.5000000000000001E-3</v>
      </c>
      <c r="AA140" s="43">
        <v>1E-3</v>
      </c>
      <c r="AB140" s="38"/>
      <c r="AC140" s="38">
        <f t="shared" si="2"/>
        <v>0</v>
      </c>
      <c r="AD140" s="38"/>
    </row>
    <row r="141" spans="1:30" ht="14.25" customHeight="1" thickBot="1" x14ac:dyDescent="0.3">
      <c r="A141" s="763"/>
      <c r="B141" s="787"/>
      <c r="C141" s="788"/>
      <c r="D141" s="788"/>
      <c r="E141" s="788"/>
      <c r="F141" s="788"/>
      <c r="G141" s="789"/>
      <c r="H141" s="898"/>
      <c r="I141" s="875"/>
      <c r="J141" s="876"/>
      <c r="K141" s="877"/>
      <c r="L141" s="807"/>
      <c r="M141" s="808"/>
      <c r="N141" s="808"/>
      <c r="O141" s="808"/>
      <c r="P141" s="808"/>
      <c r="Q141" s="641"/>
      <c r="R141" s="829"/>
      <c r="S141" s="830"/>
      <c r="T141" s="833"/>
      <c r="U141" s="835"/>
      <c r="V141" s="38"/>
      <c r="W141" s="41">
        <f>SUM(W133:W140)</f>
        <v>2.75E-2</v>
      </c>
      <c r="X141" s="41">
        <f>SUM(X133:X140)</f>
        <v>1.9E-2</v>
      </c>
      <c r="Y141" s="38"/>
      <c r="Z141" s="38"/>
      <c r="AA141" s="38"/>
      <c r="AB141" s="38"/>
      <c r="AC141" s="38">
        <f t="shared" si="2"/>
        <v>0</v>
      </c>
      <c r="AD141" s="38"/>
    </row>
    <row r="142" spans="1:30" ht="14.25" customHeight="1" thickBot="1" x14ac:dyDescent="0.3">
      <c r="A142" s="763"/>
      <c r="B142" s="1864" t="s">
        <v>216</v>
      </c>
      <c r="C142" s="1865"/>
      <c r="D142" s="1865"/>
      <c r="E142" s="1865"/>
      <c r="F142" s="1865"/>
      <c r="G142" s="1866">
        <f>COUNTIF(H133:H141,"ja")</f>
        <v>2</v>
      </c>
      <c r="H142" s="1844"/>
      <c r="I142" s="1802"/>
      <c r="J142" s="1803"/>
      <c r="K142" s="1803"/>
      <c r="L142" s="1845">
        <f>SUM(R133:S141)</f>
        <v>0</v>
      </c>
      <c r="M142" s="1846"/>
      <c r="N142" s="1846"/>
      <c r="O142" s="1846"/>
      <c r="P142" s="1867"/>
      <c r="Q142" s="1807"/>
      <c r="R142" s="1808"/>
      <c r="S142" s="1809"/>
      <c r="T142" s="1810"/>
      <c r="U142" s="1811" t="s">
        <v>170</v>
      </c>
      <c r="V142" s="38"/>
      <c r="W142" s="38"/>
      <c r="X142" s="38"/>
      <c r="Y142" s="96" t="s">
        <v>217</v>
      </c>
      <c r="Z142" s="96"/>
      <c r="AA142" s="96"/>
      <c r="AB142" s="38"/>
      <c r="AC142" s="38">
        <f t="shared" si="2"/>
        <v>0</v>
      </c>
      <c r="AD142" s="38"/>
    </row>
    <row r="143" spans="1:30" ht="14.25" customHeight="1" x14ac:dyDescent="0.25">
      <c r="A143" s="778" t="s">
        <v>218</v>
      </c>
      <c r="B143" s="1703" t="s">
        <v>219</v>
      </c>
      <c r="C143" s="1704"/>
      <c r="D143" s="1704"/>
      <c r="E143" s="1704"/>
      <c r="F143" s="1704"/>
      <c r="G143" s="1705"/>
      <c r="H143" s="1706" t="s">
        <v>107</v>
      </c>
      <c r="I143" s="1707">
        <f>IF(I52="Gebäude",W143,X143)</f>
        <v>0</v>
      </c>
      <c r="J143" s="1708">
        <f>I143*I129</f>
        <v>0</v>
      </c>
      <c r="K143" s="1709"/>
      <c r="L143" s="1710" t="s">
        <v>220</v>
      </c>
      <c r="M143" s="1711"/>
      <c r="N143" s="1711"/>
      <c r="O143" s="1711"/>
      <c r="P143" s="1712"/>
      <c r="Q143" s="1713" t="s">
        <v>107</v>
      </c>
      <c r="R143" s="1714"/>
      <c r="S143" s="1715"/>
      <c r="T143" s="1716" t="str">
        <f>IFERROR(IF((VLOOKUP(U143,Überblick!$M$124:$N$132,2))="ja","ja","nein"),"")</f>
        <v/>
      </c>
      <c r="U143" s="1717"/>
      <c r="V143" s="38">
        <f>IF(AND(Q143="ja",R143=""),1,0)</f>
        <v>0</v>
      </c>
      <c r="W143" s="40">
        <f>IF(H143="ja",Z143,0)</f>
        <v>0</v>
      </c>
      <c r="X143" s="40">
        <f>IF(H143="ja",AA143,0)</f>
        <v>0</v>
      </c>
      <c r="Y143" s="38" t="s">
        <v>203</v>
      </c>
      <c r="Z143" s="43">
        <v>0.1</v>
      </c>
      <c r="AA143" s="43">
        <v>0.13750000000000001</v>
      </c>
      <c r="AB143" s="38"/>
      <c r="AC143" s="38">
        <f t="shared" si="2"/>
        <v>0</v>
      </c>
      <c r="AD143" s="38">
        <f>IF(AND(I143+SUM(V143:V148)&gt;0,U143=""),1,0)</f>
        <v>0</v>
      </c>
    </row>
    <row r="144" spans="1:30" ht="14.25" customHeight="1" x14ac:dyDescent="0.25">
      <c r="A144" s="778"/>
      <c r="B144" s="1718"/>
      <c r="C144" s="1719"/>
      <c r="D144" s="1719"/>
      <c r="E144" s="1719"/>
      <c r="F144" s="1719"/>
      <c r="G144" s="1720"/>
      <c r="H144" s="1721"/>
      <c r="I144" s="1722"/>
      <c r="J144" s="1723"/>
      <c r="K144" s="1724"/>
      <c r="L144" s="1725"/>
      <c r="M144" s="1726"/>
      <c r="N144" s="1726"/>
      <c r="O144" s="1726"/>
      <c r="P144" s="1727"/>
      <c r="Q144" s="1728"/>
      <c r="R144" s="1729"/>
      <c r="S144" s="1730"/>
      <c r="T144" s="1731"/>
      <c r="U144" s="1732"/>
      <c r="V144" s="38"/>
      <c r="W144" s="42"/>
      <c r="X144" s="42"/>
      <c r="Y144" s="38"/>
      <c r="Z144" s="38"/>
      <c r="AA144" s="38"/>
      <c r="AB144" s="38"/>
      <c r="AC144" s="38">
        <f t="shared" si="2"/>
        <v>0</v>
      </c>
      <c r="AD144" s="38"/>
    </row>
    <row r="145" spans="1:30" ht="14.25" customHeight="1" x14ac:dyDescent="0.25">
      <c r="A145" s="778"/>
      <c r="B145" s="1718"/>
      <c r="C145" s="1719"/>
      <c r="D145" s="1719"/>
      <c r="E145" s="1719"/>
      <c r="F145" s="1719"/>
      <c r="G145" s="1720"/>
      <c r="H145" s="1721"/>
      <c r="I145" s="1722"/>
      <c r="J145" s="1723"/>
      <c r="K145" s="1724"/>
      <c r="L145" s="1725"/>
      <c r="M145" s="1726"/>
      <c r="N145" s="1726"/>
      <c r="O145" s="1726"/>
      <c r="P145" s="1727"/>
      <c r="Q145" s="1728"/>
      <c r="R145" s="1729"/>
      <c r="S145" s="1730"/>
      <c r="T145" s="1731"/>
      <c r="U145" s="1732"/>
      <c r="V145" s="38"/>
      <c r="W145" s="42"/>
      <c r="X145" s="42"/>
      <c r="Y145" s="38"/>
      <c r="Z145" s="38"/>
      <c r="AA145" s="38"/>
      <c r="AB145" s="38"/>
      <c r="AC145" s="38">
        <f t="shared" si="2"/>
        <v>0</v>
      </c>
      <c r="AD145" s="38"/>
    </row>
    <row r="146" spans="1:30" ht="14.25" customHeight="1" x14ac:dyDescent="0.25">
      <c r="A146" s="778"/>
      <c r="B146" s="1718"/>
      <c r="C146" s="1719"/>
      <c r="D146" s="1719"/>
      <c r="E146" s="1719"/>
      <c r="F146" s="1719"/>
      <c r="G146" s="1720"/>
      <c r="H146" s="1721"/>
      <c r="I146" s="1722"/>
      <c r="J146" s="1723"/>
      <c r="K146" s="1724"/>
      <c r="L146" s="1725"/>
      <c r="M146" s="1726"/>
      <c r="N146" s="1726"/>
      <c r="O146" s="1726"/>
      <c r="P146" s="1727"/>
      <c r="Q146" s="1728"/>
      <c r="R146" s="1729"/>
      <c r="S146" s="1730"/>
      <c r="T146" s="1731"/>
      <c r="U146" s="1732"/>
      <c r="V146" s="38"/>
      <c r="W146" s="42"/>
      <c r="X146" s="42"/>
      <c r="Y146" s="38"/>
      <c r="Z146" s="38"/>
      <c r="AA146" s="38"/>
      <c r="AB146" s="38"/>
      <c r="AC146" s="38">
        <f t="shared" si="2"/>
        <v>0</v>
      </c>
      <c r="AD146" s="38"/>
    </row>
    <row r="147" spans="1:30" ht="14.25" customHeight="1" x14ac:dyDescent="0.25">
      <c r="A147" s="778"/>
      <c r="B147" s="1718"/>
      <c r="C147" s="1719"/>
      <c r="D147" s="1719"/>
      <c r="E147" s="1719"/>
      <c r="F147" s="1719"/>
      <c r="G147" s="1720"/>
      <c r="H147" s="1721"/>
      <c r="I147" s="1722"/>
      <c r="J147" s="1723"/>
      <c r="K147" s="1724"/>
      <c r="L147" s="1725"/>
      <c r="M147" s="1726"/>
      <c r="N147" s="1726"/>
      <c r="O147" s="1726"/>
      <c r="P147" s="1727"/>
      <c r="Q147" s="1728"/>
      <c r="R147" s="1729"/>
      <c r="S147" s="1730"/>
      <c r="T147" s="1731"/>
      <c r="U147" s="1732"/>
      <c r="V147" s="38"/>
      <c r="W147" s="42"/>
      <c r="X147" s="42"/>
      <c r="Y147" s="38"/>
      <c r="Z147" s="38"/>
      <c r="AA147" s="38"/>
      <c r="AB147" s="38"/>
      <c r="AC147" s="38">
        <f t="shared" si="2"/>
        <v>0</v>
      </c>
      <c r="AD147" s="38"/>
    </row>
    <row r="148" spans="1:30" ht="14.25" customHeight="1" x14ac:dyDescent="0.25">
      <c r="A148" s="778"/>
      <c r="B148" s="1733"/>
      <c r="C148" s="1734"/>
      <c r="D148" s="1734"/>
      <c r="E148" s="1734"/>
      <c r="F148" s="1734"/>
      <c r="G148" s="1735"/>
      <c r="H148" s="1736"/>
      <c r="I148" s="1737"/>
      <c r="J148" s="1737"/>
      <c r="K148" s="1738"/>
      <c r="L148" s="1739"/>
      <c r="M148" s="1740"/>
      <c r="N148" s="1740"/>
      <c r="O148" s="1740"/>
      <c r="P148" s="1741"/>
      <c r="Q148" s="1742"/>
      <c r="R148" s="1743"/>
      <c r="S148" s="1744"/>
      <c r="T148" s="1745"/>
      <c r="U148" s="1746"/>
      <c r="V148" s="38">
        <f>IF(AND(X148+W148&gt;=2,I132=""),1,0)</f>
        <v>0</v>
      </c>
      <c r="W148" s="38">
        <f>IF(AND($B$129=$T$19,I148=""),1,0)</f>
        <v>0</v>
      </c>
      <c r="X148" s="38">
        <f>IF(H143="ja",1,0)</f>
        <v>0</v>
      </c>
      <c r="Y148" s="38"/>
      <c r="Z148" s="38"/>
      <c r="AA148" s="38"/>
      <c r="AB148" s="38"/>
      <c r="AC148" s="38">
        <f t="shared" si="2"/>
        <v>0</v>
      </c>
      <c r="AD148" s="38"/>
    </row>
    <row r="149" spans="1:30" ht="14.25" customHeight="1" x14ac:dyDescent="0.25">
      <c r="A149" s="778" t="s">
        <v>221</v>
      </c>
      <c r="B149" s="1747" t="s">
        <v>222</v>
      </c>
      <c r="C149" s="1748"/>
      <c r="D149" s="1748"/>
      <c r="E149" s="1748"/>
      <c r="F149" s="1748"/>
      <c r="G149" s="1749"/>
      <c r="H149" s="1750" t="s">
        <v>107</v>
      </c>
      <c r="I149" s="1751">
        <f>IF(I52="Gebäude",W149,X149)</f>
        <v>0</v>
      </c>
      <c r="J149" s="1752">
        <f>I149*I129</f>
        <v>0</v>
      </c>
      <c r="K149" s="1753"/>
      <c r="L149" s="1754" t="s">
        <v>223</v>
      </c>
      <c r="M149" s="1755"/>
      <c r="N149" s="1755"/>
      <c r="O149" s="1755"/>
      <c r="P149" s="1755"/>
      <c r="Q149" s="1756"/>
      <c r="R149" s="1757"/>
      <c r="S149" s="1758"/>
      <c r="T149" s="1759" t="str">
        <f>IFERROR(IF((VLOOKUP(U149,Überblick!$M$124:$N$132,2))="ja","ja","nein"),"")</f>
        <v/>
      </c>
      <c r="U149" s="1760"/>
      <c r="V149" s="38">
        <f>IF(AND(Q149="ja",R149=""),1,0)</f>
        <v>0</v>
      </c>
      <c r="W149" s="40">
        <f>IF(H149="ja",Z149,0)</f>
        <v>0</v>
      </c>
      <c r="X149" s="40">
        <f>IF(H149="ja",AA149,0)</f>
        <v>0</v>
      </c>
      <c r="Y149" s="38" t="s">
        <v>177</v>
      </c>
      <c r="Z149" s="43">
        <v>9.5000000000000001E-2</v>
      </c>
      <c r="AA149" s="43">
        <v>0.13</v>
      </c>
      <c r="AB149" s="38"/>
      <c r="AC149" s="38">
        <f t="shared" si="2"/>
        <v>0</v>
      </c>
      <c r="AD149" s="38">
        <f>IF(AND(I149+SUM(V149:V155)&gt;0,U149=""),1,0)</f>
        <v>0</v>
      </c>
    </row>
    <row r="150" spans="1:30" ht="14.25" customHeight="1" x14ac:dyDescent="0.25">
      <c r="A150" s="778"/>
      <c r="B150" s="1718"/>
      <c r="C150" s="1719"/>
      <c r="D150" s="1719"/>
      <c r="E150" s="1719"/>
      <c r="F150" s="1719"/>
      <c r="G150" s="1720"/>
      <c r="H150" s="1721"/>
      <c r="I150" s="1722"/>
      <c r="J150" s="1761"/>
      <c r="K150" s="1762"/>
      <c r="L150" s="1754"/>
      <c r="M150" s="1755"/>
      <c r="N150" s="1755"/>
      <c r="O150" s="1755"/>
      <c r="P150" s="1755"/>
      <c r="Q150" s="1756"/>
      <c r="R150" s="1757"/>
      <c r="S150" s="1758"/>
      <c r="T150" s="1759"/>
      <c r="U150" s="1760"/>
      <c r="V150" s="38"/>
      <c r="W150" s="42"/>
      <c r="X150" s="42"/>
      <c r="Y150" s="38"/>
      <c r="Z150" s="43"/>
      <c r="AA150" s="38"/>
      <c r="AB150" s="38"/>
      <c r="AC150" s="38">
        <f t="shared" si="2"/>
        <v>0</v>
      </c>
      <c r="AD150" s="38"/>
    </row>
    <row r="151" spans="1:30" ht="14.25" customHeight="1" x14ac:dyDescent="0.25">
      <c r="A151" s="778"/>
      <c r="B151" s="1718"/>
      <c r="C151" s="1719"/>
      <c r="D151" s="1719"/>
      <c r="E151" s="1719"/>
      <c r="F151" s="1719"/>
      <c r="G151" s="1720"/>
      <c r="H151" s="1721"/>
      <c r="I151" s="1722"/>
      <c r="J151" s="1761"/>
      <c r="K151" s="1762"/>
      <c r="L151" s="1754"/>
      <c r="M151" s="1755"/>
      <c r="N151" s="1755"/>
      <c r="O151" s="1755"/>
      <c r="P151" s="1755"/>
      <c r="Q151" s="1756"/>
      <c r="R151" s="1757"/>
      <c r="S151" s="1758"/>
      <c r="T151" s="1759"/>
      <c r="U151" s="1760"/>
      <c r="V151" s="38"/>
      <c r="W151" s="42"/>
      <c r="X151" s="42"/>
      <c r="Y151" s="38"/>
      <c r="Z151" s="38"/>
      <c r="AA151" s="38"/>
      <c r="AB151" s="38"/>
      <c r="AC151" s="38">
        <f t="shared" si="2"/>
        <v>0</v>
      </c>
      <c r="AD151" s="38"/>
    </row>
    <row r="152" spans="1:30" ht="14.25" customHeight="1" x14ac:dyDescent="0.25">
      <c r="A152" s="778"/>
      <c r="B152" s="1718"/>
      <c r="C152" s="1719"/>
      <c r="D152" s="1719"/>
      <c r="E152" s="1719"/>
      <c r="F152" s="1719"/>
      <c r="G152" s="1720"/>
      <c r="H152" s="1721"/>
      <c r="I152" s="1722"/>
      <c r="J152" s="1761"/>
      <c r="K152" s="1762"/>
      <c r="L152" s="1754"/>
      <c r="M152" s="1755"/>
      <c r="N152" s="1755"/>
      <c r="O152" s="1755"/>
      <c r="P152" s="1755"/>
      <c r="Q152" s="1756"/>
      <c r="R152" s="1757"/>
      <c r="S152" s="1758"/>
      <c r="T152" s="1759"/>
      <c r="U152" s="1760"/>
      <c r="V152" s="38"/>
      <c r="W152" s="42"/>
      <c r="X152" s="42"/>
      <c r="Y152" s="38"/>
      <c r="Z152" s="38"/>
      <c r="AA152" s="38"/>
      <c r="AB152" s="38"/>
      <c r="AC152" s="38">
        <f t="shared" si="2"/>
        <v>0</v>
      </c>
      <c r="AD152" s="38"/>
    </row>
    <row r="153" spans="1:30" ht="14.25" customHeight="1" x14ac:dyDescent="0.25">
      <c r="A153" s="778"/>
      <c r="B153" s="1718"/>
      <c r="C153" s="1719"/>
      <c r="D153" s="1719"/>
      <c r="E153" s="1719"/>
      <c r="F153" s="1719"/>
      <c r="G153" s="1720"/>
      <c r="H153" s="1721"/>
      <c r="I153" s="1722"/>
      <c r="J153" s="1761"/>
      <c r="K153" s="1762"/>
      <c r="L153" s="1754"/>
      <c r="M153" s="1755"/>
      <c r="N153" s="1755"/>
      <c r="O153" s="1755"/>
      <c r="P153" s="1755"/>
      <c r="Q153" s="1756"/>
      <c r="R153" s="1757"/>
      <c r="S153" s="1758"/>
      <c r="T153" s="1759"/>
      <c r="U153" s="1760"/>
      <c r="V153" s="38"/>
      <c r="W153" s="42"/>
      <c r="X153" s="42"/>
      <c r="Y153" s="38"/>
      <c r="Z153" s="38"/>
      <c r="AA153" s="38"/>
      <c r="AB153" s="38"/>
      <c r="AC153" s="38">
        <f t="shared" si="2"/>
        <v>0</v>
      </c>
      <c r="AD153" s="38"/>
    </row>
    <row r="154" spans="1:30" ht="14.25" customHeight="1" x14ac:dyDescent="0.25">
      <c r="A154" s="778"/>
      <c r="B154" s="1718"/>
      <c r="C154" s="1719"/>
      <c r="D154" s="1719"/>
      <c r="E154" s="1719"/>
      <c r="F154" s="1719"/>
      <c r="G154" s="1720"/>
      <c r="H154" s="1721"/>
      <c r="I154" s="1722"/>
      <c r="J154" s="1761"/>
      <c r="K154" s="1762"/>
      <c r="L154" s="1754"/>
      <c r="M154" s="1755"/>
      <c r="N154" s="1755"/>
      <c r="O154" s="1755"/>
      <c r="P154" s="1755"/>
      <c r="Q154" s="1756"/>
      <c r="R154" s="1757"/>
      <c r="S154" s="1758"/>
      <c r="T154" s="1759"/>
      <c r="U154" s="1760"/>
      <c r="V154" s="38"/>
      <c r="W154" s="42"/>
      <c r="X154" s="42"/>
      <c r="Y154" s="38"/>
      <c r="Z154" s="38"/>
      <c r="AA154" s="38"/>
      <c r="AB154" s="38"/>
      <c r="AC154" s="38">
        <f t="shared" si="2"/>
        <v>0</v>
      </c>
      <c r="AD154" s="38"/>
    </row>
    <row r="155" spans="1:30" ht="14.25" customHeight="1" x14ac:dyDescent="0.25">
      <c r="A155" s="778"/>
      <c r="B155" s="1733"/>
      <c r="C155" s="1734"/>
      <c r="D155" s="1734"/>
      <c r="E155" s="1734"/>
      <c r="F155" s="1734"/>
      <c r="G155" s="1735"/>
      <c r="H155" s="1736"/>
      <c r="I155" s="1737"/>
      <c r="J155" s="1737"/>
      <c r="K155" s="1738"/>
      <c r="L155" s="1754"/>
      <c r="M155" s="1755"/>
      <c r="N155" s="1755"/>
      <c r="O155" s="1755"/>
      <c r="P155" s="1755"/>
      <c r="Q155" s="1756"/>
      <c r="R155" s="1757"/>
      <c r="S155" s="1758"/>
      <c r="T155" s="1759"/>
      <c r="U155" s="1760"/>
      <c r="V155" s="38">
        <f>IF(AND(X155+W155&gt;=2,I139=""),1,0)</f>
        <v>0</v>
      </c>
      <c r="W155" s="38">
        <f>IF(AND($B$129=$T$19,I155=""),1,0)</f>
        <v>0</v>
      </c>
      <c r="X155" s="38">
        <f>IF(H149="ja",1,0)</f>
        <v>0</v>
      </c>
      <c r="Y155" s="38"/>
      <c r="Z155" s="38"/>
      <c r="AA155" s="38"/>
      <c r="AB155" s="38"/>
      <c r="AC155" s="38">
        <f t="shared" si="2"/>
        <v>0</v>
      </c>
      <c r="AD155" s="38"/>
    </row>
    <row r="156" spans="1:30" ht="14.25" customHeight="1" x14ac:dyDescent="0.25">
      <c r="A156" s="778" t="s">
        <v>224</v>
      </c>
      <c r="B156" s="1763" t="s">
        <v>225</v>
      </c>
      <c r="C156" s="1764"/>
      <c r="D156" s="1764"/>
      <c r="E156" s="1764"/>
      <c r="F156" s="1764"/>
      <c r="G156" s="1765"/>
      <c r="H156" s="1750" t="s">
        <v>107</v>
      </c>
      <c r="I156" s="1751">
        <f>IF(I52="Gebäude",W156,X156)</f>
        <v>0</v>
      </c>
      <c r="J156" s="1752">
        <f>I156*I129</f>
        <v>0</v>
      </c>
      <c r="K156" s="1753"/>
      <c r="L156" s="1754" t="s">
        <v>226</v>
      </c>
      <c r="M156" s="1755"/>
      <c r="N156" s="1755"/>
      <c r="O156" s="1755"/>
      <c r="P156" s="1755"/>
      <c r="Q156" s="1756" t="s">
        <v>107</v>
      </c>
      <c r="R156" s="1757"/>
      <c r="S156" s="1758"/>
      <c r="T156" s="1759" t="str">
        <f>IFERROR(IF((VLOOKUP(U156,Überblick!$M$124:$N$132,2))="ja","ja","nein"),"")</f>
        <v/>
      </c>
      <c r="U156" s="1760"/>
      <c r="V156" s="38">
        <f>IF(AND(Q156="ja",R156=""),1,0)</f>
        <v>0</v>
      </c>
      <c r="W156" s="40">
        <f>IF(H156="ja",Z156,0)</f>
        <v>0</v>
      </c>
      <c r="X156" s="40">
        <f>IF(H156="ja",AA156,0)</f>
        <v>0</v>
      </c>
      <c r="Y156" s="38" t="s">
        <v>208</v>
      </c>
      <c r="Z156" s="43">
        <v>0.03</v>
      </c>
      <c r="AA156" s="43">
        <v>1.2500000000000001E-2</v>
      </c>
      <c r="AB156" s="38"/>
      <c r="AC156" s="38">
        <f t="shared" si="2"/>
        <v>0</v>
      </c>
      <c r="AD156" s="38">
        <f>IF(AND(I156+SUM(V156:V159)&gt;0,U156=""),1,0)</f>
        <v>0</v>
      </c>
    </row>
    <row r="157" spans="1:30" ht="14.25" customHeight="1" x14ac:dyDescent="0.25">
      <c r="A157" s="778"/>
      <c r="B157" s="1766"/>
      <c r="C157" s="1767"/>
      <c r="D157" s="1767"/>
      <c r="E157" s="1767"/>
      <c r="F157" s="1767"/>
      <c r="G157" s="1768"/>
      <c r="H157" s="1721"/>
      <c r="I157" s="1722"/>
      <c r="J157" s="1761"/>
      <c r="K157" s="1762"/>
      <c r="L157" s="1754"/>
      <c r="M157" s="1755"/>
      <c r="N157" s="1755"/>
      <c r="O157" s="1755"/>
      <c r="P157" s="1755"/>
      <c r="Q157" s="1756"/>
      <c r="R157" s="1757"/>
      <c r="S157" s="1758"/>
      <c r="T157" s="1759"/>
      <c r="U157" s="1760"/>
      <c r="V157" s="38"/>
      <c r="W157" s="42"/>
      <c r="X157" s="42"/>
      <c r="Y157" s="38"/>
      <c r="Z157" s="43"/>
      <c r="AA157" s="38"/>
      <c r="AB157" s="38"/>
      <c r="AC157" s="38">
        <f t="shared" si="2"/>
        <v>0</v>
      </c>
      <c r="AD157" s="38"/>
    </row>
    <row r="158" spans="1:30" ht="14.25" customHeight="1" x14ac:dyDescent="0.25">
      <c r="A158" s="778"/>
      <c r="B158" s="1766"/>
      <c r="C158" s="1767"/>
      <c r="D158" s="1767"/>
      <c r="E158" s="1767"/>
      <c r="F158" s="1767"/>
      <c r="G158" s="1768"/>
      <c r="H158" s="1721"/>
      <c r="I158" s="1722"/>
      <c r="J158" s="1761"/>
      <c r="K158" s="1762"/>
      <c r="L158" s="1754"/>
      <c r="M158" s="1755"/>
      <c r="N158" s="1755"/>
      <c r="O158" s="1755"/>
      <c r="P158" s="1755"/>
      <c r="Q158" s="1756"/>
      <c r="R158" s="1757"/>
      <c r="S158" s="1758"/>
      <c r="T158" s="1759"/>
      <c r="U158" s="1760"/>
      <c r="V158" s="38"/>
      <c r="W158" s="42"/>
      <c r="X158" s="42"/>
      <c r="Y158" s="38"/>
      <c r="Z158" s="43"/>
      <c r="AA158" s="38"/>
      <c r="AB158" s="38"/>
      <c r="AC158" s="38">
        <f t="shared" si="2"/>
        <v>0</v>
      </c>
      <c r="AD158" s="38"/>
    </row>
    <row r="159" spans="1:30" ht="14.25" customHeight="1" x14ac:dyDescent="0.25">
      <c r="A159" s="778"/>
      <c r="B159" s="1769"/>
      <c r="C159" s="1770"/>
      <c r="D159" s="1770"/>
      <c r="E159" s="1770"/>
      <c r="F159" s="1770"/>
      <c r="G159" s="1771"/>
      <c r="H159" s="1736"/>
      <c r="I159" s="1737"/>
      <c r="J159" s="1737"/>
      <c r="K159" s="1738"/>
      <c r="L159" s="1754"/>
      <c r="M159" s="1755"/>
      <c r="N159" s="1755"/>
      <c r="O159" s="1755"/>
      <c r="P159" s="1755"/>
      <c r="Q159" s="1756"/>
      <c r="R159" s="1757"/>
      <c r="S159" s="1758"/>
      <c r="T159" s="1759"/>
      <c r="U159" s="1760"/>
      <c r="V159" s="38">
        <f>IF(AND(X159+W159&gt;=2,I159=""),1,0)</f>
        <v>0</v>
      </c>
      <c r="W159" s="38">
        <f>IF(AND($B$129=$T$19,I159=""),1,0)</f>
        <v>0</v>
      </c>
      <c r="X159" s="38">
        <f>IF(H156="ja",1,0)</f>
        <v>0</v>
      </c>
      <c r="Y159" s="38"/>
      <c r="Z159" s="38"/>
      <c r="AA159" s="38"/>
      <c r="AB159" s="38"/>
      <c r="AC159" s="38">
        <f t="shared" si="2"/>
        <v>0</v>
      </c>
      <c r="AD159" s="38"/>
    </row>
    <row r="160" spans="1:30" ht="14.25" customHeight="1" x14ac:dyDescent="0.25">
      <c r="A160" s="778" t="s">
        <v>227</v>
      </c>
      <c r="B160" s="1747" t="s">
        <v>211</v>
      </c>
      <c r="C160" s="1748"/>
      <c r="D160" s="1748"/>
      <c r="E160" s="1748"/>
      <c r="F160" s="1748"/>
      <c r="G160" s="1749"/>
      <c r="H160" s="1750" t="s">
        <v>107</v>
      </c>
      <c r="I160" s="1772">
        <f>IF(I52="Gebäude",W161,X161)</f>
        <v>0</v>
      </c>
      <c r="J160" s="1773">
        <f>I160*I129</f>
        <v>0</v>
      </c>
      <c r="K160" s="1753"/>
      <c r="L160" s="1774"/>
      <c r="M160" s="1775"/>
      <c r="N160" s="1775"/>
      <c r="O160" s="1775"/>
      <c r="P160" s="1776"/>
      <c r="Q160" s="1777" t="s">
        <v>107</v>
      </c>
      <c r="R160" s="1757"/>
      <c r="S160" s="1758"/>
      <c r="T160" s="1778" t="str">
        <f>IFERROR(IF((VLOOKUP(U160,Überblick!$M$124:$N$132,2))="ja","ja","nein"),"")</f>
        <v/>
      </c>
      <c r="U160" s="1779"/>
      <c r="V160" s="38">
        <f>IF(AND(X160+W160&gt;=2,I161=""),1,0)</f>
        <v>0</v>
      </c>
      <c r="W160" s="38">
        <f>IF(AND($B$129=$T$19,I161=""),1,0)</f>
        <v>0</v>
      </c>
      <c r="X160" s="38">
        <f>IF(H160="ja",1,0)</f>
        <v>0</v>
      </c>
      <c r="Y160" s="38"/>
      <c r="Z160" s="38"/>
      <c r="AA160" s="38"/>
      <c r="AB160" s="38"/>
      <c r="AC160" s="38">
        <f t="shared" si="2"/>
        <v>0</v>
      </c>
      <c r="AD160" s="38">
        <f>IF(AND(I160+SUM(V160:V161)&gt;0,U160=""),1,0)</f>
        <v>0</v>
      </c>
    </row>
    <row r="161" spans="1:30" ht="14.25" customHeight="1" x14ac:dyDescent="0.25">
      <c r="A161" s="778"/>
      <c r="B161" s="1733"/>
      <c r="C161" s="1734"/>
      <c r="D161" s="1734"/>
      <c r="E161" s="1734"/>
      <c r="F161" s="1734"/>
      <c r="G161" s="1735"/>
      <c r="H161" s="1736"/>
      <c r="I161" s="1737"/>
      <c r="J161" s="1737"/>
      <c r="K161" s="1738"/>
      <c r="L161" s="1780"/>
      <c r="M161" s="1781"/>
      <c r="N161" s="1781"/>
      <c r="O161" s="1781"/>
      <c r="P161" s="1782"/>
      <c r="Q161" s="1742"/>
      <c r="R161" s="1757"/>
      <c r="S161" s="1758"/>
      <c r="T161" s="1745"/>
      <c r="U161" s="1746"/>
      <c r="V161" s="38">
        <f>IF(AND(Q160="ja",R160=""),1,0)</f>
        <v>0</v>
      </c>
      <c r="W161" s="40">
        <f>IF(H160="ja",Z161,0)</f>
        <v>0</v>
      </c>
      <c r="X161" s="40">
        <f>IF(H160="ja",AA161,0)</f>
        <v>0</v>
      </c>
      <c r="Y161" s="38" t="s">
        <v>181</v>
      </c>
      <c r="Z161" s="43">
        <v>8.5000000000000006E-3</v>
      </c>
      <c r="AA161" s="43">
        <v>5.0000000000000001E-3</v>
      </c>
      <c r="AB161" s="38"/>
      <c r="AC161" s="38">
        <f t="shared" si="2"/>
        <v>0</v>
      </c>
      <c r="AD161" s="38"/>
    </row>
    <row r="162" spans="1:30" ht="14.25" customHeight="1" x14ac:dyDescent="0.25">
      <c r="A162" s="778" t="s">
        <v>228</v>
      </c>
      <c r="B162" s="1747" t="s">
        <v>229</v>
      </c>
      <c r="C162" s="1748"/>
      <c r="D162" s="1748"/>
      <c r="E162" s="1748"/>
      <c r="F162" s="1748"/>
      <c r="G162" s="1749"/>
      <c r="H162" s="1783" t="s">
        <v>107</v>
      </c>
      <c r="I162" s="1751">
        <f>IF(I52="Gebäude",W162,X162)</f>
        <v>0</v>
      </c>
      <c r="J162" s="1752">
        <f>I162*I129</f>
        <v>0</v>
      </c>
      <c r="K162" s="1753"/>
      <c r="L162" s="1754" t="s">
        <v>230</v>
      </c>
      <c r="M162" s="1755"/>
      <c r="N162" s="1755"/>
      <c r="O162" s="1755"/>
      <c r="P162" s="1755"/>
      <c r="Q162" s="1756" t="s">
        <v>107</v>
      </c>
      <c r="R162" s="1757"/>
      <c r="S162" s="1758"/>
      <c r="T162" s="1759" t="str">
        <f>IFERROR(IF((VLOOKUP(U162,Überblick!$M$124:$N$132,2))="ja","ja","nein"),"")</f>
        <v/>
      </c>
      <c r="U162" s="1760"/>
      <c r="V162" s="38">
        <f>IF(AND(Q162="ja",R162=""),1,0)</f>
        <v>0</v>
      </c>
      <c r="W162" s="40">
        <f>IF(H162="ja",Z162,0)</f>
        <v>0</v>
      </c>
      <c r="X162" s="40">
        <f>IF(H162="ja",AA162,0)</f>
        <v>0</v>
      </c>
      <c r="Y162" s="38" t="s">
        <v>182</v>
      </c>
      <c r="Z162" s="43">
        <v>4.0000000000000001E-3</v>
      </c>
      <c r="AA162" s="43">
        <v>0.01</v>
      </c>
      <c r="AB162" s="38"/>
      <c r="AC162" s="38">
        <f t="shared" si="2"/>
        <v>0</v>
      </c>
      <c r="AD162" s="38">
        <f>IF(AND(I162+SUM(V162:V165)&gt;0,U162=""),1,0)</f>
        <v>0</v>
      </c>
    </row>
    <row r="163" spans="1:30" ht="14.25" customHeight="1" x14ac:dyDescent="0.25">
      <c r="A163" s="778"/>
      <c r="B163" s="1718"/>
      <c r="C163" s="1719"/>
      <c r="D163" s="1719"/>
      <c r="E163" s="1719"/>
      <c r="F163" s="1719"/>
      <c r="G163" s="1720"/>
      <c r="H163" s="1783"/>
      <c r="I163" s="1722"/>
      <c r="J163" s="1761"/>
      <c r="K163" s="1762"/>
      <c r="L163" s="1754"/>
      <c r="M163" s="1755"/>
      <c r="N163" s="1755"/>
      <c r="O163" s="1755"/>
      <c r="P163" s="1755"/>
      <c r="Q163" s="1756"/>
      <c r="R163" s="1757"/>
      <c r="S163" s="1758"/>
      <c r="T163" s="1759"/>
      <c r="U163" s="1760"/>
      <c r="V163" s="38"/>
      <c r="W163" s="42"/>
      <c r="X163" s="42"/>
      <c r="Y163" s="38"/>
      <c r="Z163" s="38"/>
      <c r="AA163" s="38"/>
      <c r="AB163" s="38"/>
      <c r="AC163" s="38">
        <f t="shared" si="2"/>
        <v>0</v>
      </c>
      <c r="AD163" s="38"/>
    </row>
    <row r="164" spans="1:30" ht="14.25" customHeight="1" x14ac:dyDescent="0.25">
      <c r="A164" s="778"/>
      <c r="B164" s="1718"/>
      <c r="C164" s="1719"/>
      <c r="D164" s="1719"/>
      <c r="E164" s="1719"/>
      <c r="F164" s="1719"/>
      <c r="G164" s="1720"/>
      <c r="H164" s="1783"/>
      <c r="I164" s="1722"/>
      <c r="J164" s="1761"/>
      <c r="K164" s="1762"/>
      <c r="L164" s="1754"/>
      <c r="M164" s="1755"/>
      <c r="N164" s="1755"/>
      <c r="O164" s="1755"/>
      <c r="P164" s="1755"/>
      <c r="Q164" s="1756"/>
      <c r="R164" s="1757"/>
      <c r="S164" s="1758"/>
      <c r="T164" s="1759"/>
      <c r="U164" s="1760"/>
      <c r="V164" s="38"/>
      <c r="W164" s="42"/>
      <c r="X164" s="42"/>
      <c r="Y164" s="38"/>
      <c r="Z164" s="38"/>
      <c r="AA164" s="38"/>
      <c r="AB164" s="38"/>
      <c r="AC164" s="38">
        <f t="shared" si="2"/>
        <v>0</v>
      </c>
      <c r="AD164" s="38"/>
    </row>
    <row r="165" spans="1:30" ht="14.25" customHeight="1" x14ac:dyDescent="0.25">
      <c r="A165" s="778"/>
      <c r="B165" s="1718"/>
      <c r="C165" s="1719"/>
      <c r="D165" s="1719"/>
      <c r="E165" s="1719"/>
      <c r="F165" s="1719"/>
      <c r="G165" s="1720"/>
      <c r="H165" s="1783"/>
      <c r="I165" s="1737"/>
      <c r="J165" s="1737"/>
      <c r="K165" s="1738"/>
      <c r="L165" s="1754"/>
      <c r="M165" s="1755"/>
      <c r="N165" s="1755"/>
      <c r="O165" s="1755"/>
      <c r="P165" s="1755"/>
      <c r="Q165" s="1756"/>
      <c r="R165" s="1757"/>
      <c r="S165" s="1758"/>
      <c r="T165" s="1759"/>
      <c r="U165" s="1760"/>
      <c r="V165" s="38">
        <f>IF(AND(X165+W165&gt;=2,I165=""),1,0)</f>
        <v>0</v>
      </c>
      <c r="W165" s="38">
        <f>IF(AND($B$129=$T$19,I165=""),1,0)</f>
        <v>0</v>
      </c>
      <c r="X165" s="38">
        <f>IF(H162="ja",1,0)</f>
        <v>0</v>
      </c>
      <c r="Y165" s="38"/>
      <c r="Z165" s="38"/>
      <c r="AA165" s="38"/>
      <c r="AB165" s="38"/>
      <c r="AC165" s="38">
        <f t="shared" si="2"/>
        <v>0</v>
      </c>
      <c r="AD165" s="38"/>
    </row>
    <row r="166" spans="1:30" ht="14.25" customHeight="1" x14ac:dyDescent="0.25">
      <c r="A166" s="778" t="s">
        <v>231</v>
      </c>
      <c r="B166" s="1747" t="s">
        <v>232</v>
      </c>
      <c r="C166" s="1748"/>
      <c r="D166" s="1748"/>
      <c r="E166" s="1748"/>
      <c r="F166" s="1748"/>
      <c r="G166" s="1749"/>
      <c r="H166" s="1750" t="s">
        <v>107</v>
      </c>
      <c r="I166" s="1751">
        <f>IF(I52="Gebäude",W166,X166)</f>
        <v>0</v>
      </c>
      <c r="J166" s="1752">
        <f>I166*I129</f>
        <v>0</v>
      </c>
      <c r="K166" s="1753"/>
      <c r="L166" s="1774"/>
      <c r="M166" s="1775"/>
      <c r="N166" s="1775"/>
      <c r="O166" s="1775"/>
      <c r="P166" s="1776"/>
      <c r="Q166" s="1777" t="s">
        <v>107</v>
      </c>
      <c r="R166" s="1784"/>
      <c r="S166" s="1785"/>
      <c r="T166" s="1759" t="str">
        <f>IFERROR(IF((VLOOKUP(U166,Überblick!$M$124:$N$132,2))="ja","ja","nein"),"")</f>
        <v/>
      </c>
      <c r="U166" s="1760"/>
      <c r="V166" s="38">
        <f>IF(AND(Q166="ja",R166=""),1,0)</f>
        <v>0</v>
      </c>
      <c r="W166" s="40">
        <f>IF(H166="ja",Z166,0)</f>
        <v>0</v>
      </c>
      <c r="X166" s="40">
        <f>IF(H166="ja",AA166,0)</f>
        <v>0</v>
      </c>
      <c r="Y166" s="38" t="s">
        <v>193</v>
      </c>
      <c r="Z166" s="43">
        <v>1.2500000000000001E-2</v>
      </c>
      <c r="AA166" s="43">
        <v>5.0000000000000001E-3</v>
      </c>
      <c r="AB166" s="38"/>
      <c r="AC166" s="38">
        <f t="shared" si="2"/>
        <v>0</v>
      </c>
      <c r="AD166" s="38">
        <f>IF(AND(I166+SUM(V166:V170)&gt;0,U166=""),1,0)</f>
        <v>0</v>
      </c>
    </row>
    <row r="167" spans="1:30" ht="14.25" customHeight="1" x14ac:dyDescent="0.25">
      <c r="A167" s="778"/>
      <c r="B167" s="1718"/>
      <c r="C167" s="1719"/>
      <c r="D167" s="1719"/>
      <c r="E167" s="1719"/>
      <c r="F167" s="1719"/>
      <c r="G167" s="1720"/>
      <c r="H167" s="1721"/>
      <c r="I167" s="1722"/>
      <c r="J167" s="1761"/>
      <c r="K167" s="1762"/>
      <c r="L167" s="1786"/>
      <c r="M167" s="1787"/>
      <c r="N167" s="1787"/>
      <c r="O167" s="1787"/>
      <c r="P167" s="1788"/>
      <c r="Q167" s="1728"/>
      <c r="R167" s="1729"/>
      <c r="S167" s="1730"/>
      <c r="T167" s="1759"/>
      <c r="U167" s="1760"/>
      <c r="V167" s="38"/>
      <c r="W167" s="42"/>
      <c r="X167" s="42"/>
      <c r="Y167" s="38"/>
      <c r="Z167" s="38"/>
      <c r="AA167" s="38"/>
      <c r="AB167" s="38"/>
      <c r="AC167" s="38">
        <f t="shared" si="2"/>
        <v>0</v>
      </c>
      <c r="AD167" s="38"/>
    </row>
    <row r="168" spans="1:30" ht="14.25" customHeight="1" x14ac:dyDescent="0.25">
      <c r="A168" s="778"/>
      <c r="B168" s="1718"/>
      <c r="C168" s="1719"/>
      <c r="D168" s="1719"/>
      <c r="E168" s="1719"/>
      <c r="F168" s="1719"/>
      <c r="G168" s="1720"/>
      <c r="H168" s="1721"/>
      <c r="I168" s="1722"/>
      <c r="J168" s="1761"/>
      <c r="K168" s="1762"/>
      <c r="L168" s="1786"/>
      <c r="M168" s="1787"/>
      <c r="N168" s="1787"/>
      <c r="O168" s="1787"/>
      <c r="P168" s="1788"/>
      <c r="Q168" s="1728"/>
      <c r="R168" s="1729"/>
      <c r="S168" s="1730"/>
      <c r="T168" s="1759"/>
      <c r="U168" s="1760"/>
      <c r="V168" s="38"/>
      <c r="W168" s="42"/>
      <c r="X168" s="42"/>
      <c r="Y168" s="38"/>
      <c r="Z168" s="38"/>
      <c r="AA168" s="38"/>
      <c r="AB168" s="38"/>
      <c r="AC168" s="38">
        <f t="shared" si="2"/>
        <v>0</v>
      </c>
      <c r="AD168" s="38"/>
    </row>
    <row r="169" spans="1:30" ht="14.25" customHeight="1" x14ac:dyDescent="0.25">
      <c r="A169" s="778"/>
      <c r="B169" s="1718"/>
      <c r="C169" s="1719"/>
      <c r="D169" s="1719"/>
      <c r="E169" s="1719"/>
      <c r="F169" s="1719"/>
      <c r="G169" s="1720"/>
      <c r="H169" s="1721"/>
      <c r="I169" s="1722"/>
      <c r="J169" s="1761"/>
      <c r="K169" s="1762"/>
      <c r="L169" s="1786"/>
      <c r="M169" s="1787"/>
      <c r="N169" s="1787"/>
      <c r="O169" s="1787"/>
      <c r="P169" s="1788"/>
      <c r="Q169" s="1728"/>
      <c r="R169" s="1729"/>
      <c r="S169" s="1730"/>
      <c r="T169" s="1778"/>
      <c r="U169" s="1779"/>
      <c r="V169" s="38"/>
      <c r="W169" s="42"/>
      <c r="X169" s="42"/>
      <c r="Y169" s="38"/>
      <c r="Z169" s="38"/>
      <c r="AA169" s="38"/>
      <c r="AB169" s="38"/>
      <c r="AC169" s="38">
        <f t="shared" si="2"/>
        <v>0</v>
      </c>
      <c r="AD169" s="38"/>
    </row>
    <row r="170" spans="1:30" ht="14.25" customHeight="1" thickBot="1" x14ac:dyDescent="0.3">
      <c r="A170" s="778"/>
      <c r="B170" s="1718"/>
      <c r="C170" s="1719"/>
      <c r="D170" s="1719"/>
      <c r="E170" s="1719"/>
      <c r="F170" s="1719"/>
      <c r="G170" s="1720"/>
      <c r="H170" s="1789"/>
      <c r="I170" s="1737"/>
      <c r="J170" s="1737"/>
      <c r="K170" s="1738"/>
      <c r="L170" s="1790"/>
      <c r="M170" s="1791"/>
      <c r="N170" s="1791"/>
      <c r="O170" s="1791"/>
      <c r="P170" s="1792"/>
      <c r="Q170" s="1793"/>
      <c r="R170" s="1794"/>
      <c r="S170" s="1795"/>
      <c r="T170" s="1796"/>
      <c r="U170" s="1797"/>
      <c r="V170" s="38">
        <f>IF(AND(X170+W170&gt;=2,I170=""),1,0)</f>
        <v>0</v>
      </c>
      <c r="W170" s="315">
        <f>IF(AND($B$129=$T$19,I170=""),1,0)</f>
        <v>0</v>
      </c>
      <c r="X170" s="38">
        <f>IF(H166="ja",1,0)</f>
        <v>0</v>
      </c>
      <c r="Y170" s="38"/>
      <c r="Z170" s="38"/>
      <c r="AA170" s="38"/>
      <c r="AB170" s="38"/>
      <c r="AC170" s="38">
        <f t="shared" si="2"/>
        <v>0</v>
      </c>
      <c r="AD170" s="38"/>
    </row>
    <row r="171" spans="1:30" ht="14.25" customHeight="1" thickBot="1" x14ac:dyDescent="0.3">
      <c r="A171" s="760" t="s">
        <v>233</v>
      </c>
      <c r="B171" s="1798" t="s">
        <v>234</v>
      </c>
      <c r="C171" s="1799"/>
      <c r="D171" s="1799"/>
      <c r="E171" s="1799"/>
      <c r="F171" s="1799"/>
      <c r="G171" s="1800"/>
      <c r="H171" s="1801"/>
      <c r="I171" s="1802"/>
      <c r="J171" s="1803"/>
      <c r="K171" s="1804"/>
      <c r="L171" s="1805">
        <f>SUM(R143:S170)</f>
        <v>0</v>
      </c>
      <c r="M171" s="1806"/>
      <c r="N171" s="1806"/>
      <c r="O171" s="1806"/>
      <c r="P171" s="1806"/>
      <c r="Q171" s="1807"/>
      <c r="R171" s="1808"/>
      <c r="S171" s="1809"/>
      <c r="T171" s="1810"/>
      <c r="U171" s="1811" t="s">
        <v>170</v>
      </c>
      <c r="V171" s="38"/>
      <c r="W171" s="315">
        <f>IF(AND($B$129=$T$19,I171=""),1,0)</f>
        <v>0</v>
      </c>
      <c r="X171" s="315">
        <f>G197</f>
        <v>0</v>
      </c>
      <c r="Y171" s="96" t="s">
        <v>235</v>
      </c>
      <c r="Z171" s="96"/>
      <c r="AA171" s="96"/>
      <c r="AB171" s="38"/>
      <c r="AC171" s="38">
        <f t="shared" si="2"/>
        <v>0</v>
      </c>
      <c r="AD171" s="38"/>
    </row>
    <row r="172" spans="1:30" ht="14.25" customHeight="1" thickBot="1" x14ac:dyDescent="0.3">
      <c r="A172" s="760"/>
      <c r="B172" s="1812" t="s">
        <v>236</v>
      </c>
      <c r="C172" s="1813"/>
      <c r="D172" s="1813"/>
      <c r="E172" s="1813"/>
      <c r="F172" s="1813"/>
      <c r="G172" s="1814"/>
      <c r="H172" s="1815" t="s">
        <v>107</v>
      </c>
      <c r="I172" s="1816">
        <f>IF(I52="Gebäude",W196,X196)</f>
        <v>0</v>
      </c>
      <c r="J172" s="1708">
        <f>I172*$I$129</f>
        <v>0</v>
      </c>
      <c r="K172" s="1709"/>
      <c r="L172" s="1817" t="s">
        <v>237</v>
      </c>
      <c r="M172" s="1818"/>
      <c r="N172" s="1818"/>
      <c r="O172" s="1818"/>
      <c r="P172" s="1818"/>
      <c r="Q172" s="1819" t="s">
        <v>107</v>
      </c>
      <c r="R172" s="1820"/>
      <c r="S172" s="1821"/>
      <c r="T172" s="1822" t="str">
        <f>IFERROR(IF((VLOOKUP(U172,Überblick!$M$124:$N$132,2))="ja","ja","nein"),"")</f>
        <v/>
      </c>
      <c r="U172" s="1823"/>
      <c r="V172" s="38">
        <f>IF(AND(Q172="ja",R172=""),1,0)</f>
        <v>0</v>
      </c>
      <c r="W172" s="40">
        <f>IF(H172="ja",Z172,0)</f>
        <v>0</v>
      </c>
      <c r="X172" s="40">
        <f>IF(H172="ja",AA172,0)</f>
        <v>0</v>
      </c>
      <c r="Y172" s="38" t="s">
        <v>203</v>
      </c>
      <c r="Z172" s="43">
        <v>2E-3</v>
      </c>
      <c r="AA172" s="43">
        <v>1E-3</v>
      </c>
      <c r="AB172" s="38"/>
      <c r="AC172" s="38">
        <f t="shared" si="2"/>
        <v>0</v>
      </c>
      <c r="AD172" s="38">
        <f>IF(AND(I172+SUM(V172:V196)&gt;0,U172=""),1,0)</f>
        <v>0</v>
      </c>
    </row>
    <row r="173" spans="1:30" ht="14.25" customHeight="1" thickBot="1" x14ac:dyDescent="0.3">
      <c r="A173" s="760"/>
      <c r="B173" s="1718" t="s">
        <v>238</v>
      </c>
      <c r="C173" s="1719"/>
      <c r="D173" s="1719"/>
      <c r="E173" s="1719"/>
      <c r="F173" s="1719"/>
      <c r="G173" s="1720"/>
      <c r="H173" s="1824" t="s">
        <v>107</v>
      </c>
      <c r="I173" s="1825"/>
      <c r="J173" s="1723"/>
      <c r="K173" s="1724"/>
      <c r="L173" s="1754"/>
      <c r="M173" s="1755"/>
      <c r="N173" s="1755"/>
      <c r="O173" s="1755"/>
      <c r="P173" s="1755"/>
      <c r="Q173" s="1756"/>
      <c r="R173" s="1757"/>
      <c r="S173" s="1758"/>
      <c r="T173" s="1826"/>
      <c r="U173" s="1823"/>
      <c r="V173" s="38"/>
      <c r="W173" s="40">
        <f>IF(H173="ja",Z173,0)</f>
        <v>0</v>
      </c>
      <c r="X173" s="40">
        <f>IF(H173="ja",AA173,0)</f>
        <v>0</v>
      </c>
      <c r="Y173" s="38" t="s">
        <v>177</v>
      </c>
      <c r="Z173" s="43">
        <v>7.5999999999999998E-2</v>
      </c>
      <c r="AA173" s="43">
        <v>5.5E-2</v>
      </c>
      <c r="AB173" s="38"/>
      <c r="AC173" s="38">
        <f t="shared" si="2"/>
        <v>0</v>
      </c>
      <c r="AD173" s="38"/>
    </row>
    <row r="174" spans="1:30" ht="14.25" customHeight="1" thickBot="1" x14ac:dyDescent="0.3">
      <c r="A174" s="760"/>
      <c r="B174" s="1718"/>
      <c r="C174" s="1719"/>
      <c r="D174" s="1719"/>
      <c r="E174" s="1719"/>
      <c r="F174" s="1719"/>
      <c r="G174" s="1720"/>
      <c r="H174" s="1824"/>
      <c r="I174" s="1825"/>
      <c r="J174" s="1723"/>
      <c r="K174" s="1724"/>
      <c r="L174" s="1754"/>
      <c r="M174" s="1755"/>
      <c r="N174" s="1755"/>
      <c r="O174" s="1755"/>
      <c r="P174" s="1755"/>
      <c r="Q174" s="1756"/>
      <c r="R174" s="1757"/>
      <c r="S174" s="1758"/>
      <c r="T174" s="1826"/>
      <c r="U174" s="1823"/>
      <c r="V174" s="38"/>
      <c r="W174" s="42"/>
      <c r="X174" s="42"/>
      <c r="Y174" s="38"/>
      <c r="Z174" s="38"/>
      <c r="AA174" s="38"/>
      <c r="AB174" s="38"/>
      <c r="AC174" s="38">
        <f t="shared" si="2"/>
        <v>0</v>
      </c>
      <c r="AD174" s="38"/>
    </row>
    <row r="175" spans="1:30" ht="14.25" customHeight="1" thickBot="1" x14ac:dyDescent="0.3">
      <c r="A175" s="760"/>
      <c r="B175" s="1718"/>
      <c r="C175" s="1719"/>
      <c r="D175" s="1719"/>
      <c r="E175" s="1719"/>
      <c r="F175" s="1719"/>
      <c r="G175" s="1720"/>
      <c r="H175" s="1824"/>
      <c r="I175" s="1825"/>
      <c r="J175" s="1723"/>
      <c r="K175" s="1724"/>
      <c r="L175" s="1754" t="s">
        <v>239</v>
      </c>
      <c r="M175" s="1755"/>
      <c r="N175" s="1755"/>
      <c r="O175" s="1755"/>
      <c r="P175" s="1755"/>
      <c r="Q175" s="1756" t="s">
        <v>107</v>
      </c>
      <c r="R175" s="1757"/>
      <c r="S175" s="1758"/>
      <c r="T175" s="1826"/>
      <c r="U175" s="1823"/>
      <c r="V175" s="38">
        <f>IF(AND(Q175="ja",R175=""),1,0)</f>
        <v>0</v>
      </c>
      <c r="W175" s="42"/>
      <c r="X175" s="42"/>
      <c r="Y175" s="38"/>
      <c r="Z175" s="38"/>
      <c r="AA175" s="38"/>
      <c r="AB175" s="38"/>
      <c r="AC175" s="38">
        <f t="shared" si="2"/>
        <v>0</v>
      </c>
      <c r="AD175" s="38"/>
    </row>
    <row r="176" spans="1:30" ht="14.25" customHeight="1" thickBot="1" x14ac:dyDescent="0.3">
      <c r="A176" s="760"/>
      <c r="B176" s="1718"/>
      <c r="C176" s="1719"/>
      <c r="D176" s="1719"/>
      <c r="E176" s="1719"/>
      <c r="F176" s="1719"/>
      <c r="G176" s="1720"/>
      <c r="H176" s="1824"/>
      <c r="I176" s="1825"/>
      <c r="J176" s="1723"/>
      <c r="K176" s="1724"/>
      <c r="L176" s="1754"/>
      <c r="M176" s="1755"/>
      <c r="N176" s="1755"/>
      <c r="O176" s="1755"/>
      <c r="P176" s="1755"/>
      <c r="Q176" s="1756"/>
      <c r="R176" s="1757"/>
      <c r="S176" s="1758"/>
      <c r="T176" s="1826"/>
      <c r="U176" s="1823"/>
      <c r="V176" s="38"/>
      <c r="W176" s="42"/>
      <c r="X176" s="42"/>
      <c r="Y176" s="38"/>
      <c r="Z176" s="38"/>
      <c r="AA176" s="38"/>
      <c r="AB176" s="38"/>
      <c r="AC176" s="38">
        <f t="shared" si="2"/>
        <v>0</v>
      </c>
      <c r="AD176" s="38"/>
    </row>
    <row r="177" spans="1:30" ht="14.25" customHeight="1" thickBot="1" x14ac:dyDescent="0.3">
      <c r="A177" s="760"/>
      <c r="B177" s="1733"/>
      <c r="C177" s="1734"/>
      <c r="D177" s="1734"/>
      <c r="E177" s="1734"/>
      <c r="F177" s="1734"/>
      <c r="G177" s="1735"/>
      <c r="H177" s="1824"/>
      <c r="I177" s="1825"/>
      <c r="J177" s="1723"/>
      <c r="K177" s="1724"/>
      <c r="L177" s="1754"/>
      <c r="M177" s="1755"/>
      <c r="N177" s="1755"/>
      <c r="O177" s="1755"/>
      <c r="P177" s="1755"/>
      <c r="Q177" s="1756"/>
      <c r="R177" s="1757"/>
      <c r="S177" s="1758"/>
      <c r="T177" s="1826"/>
      <c r="U177" s="1823"/>
      <c r="V177" s="38"/>
      <c r="W177" s="42"/>
      <c r="X177" s="42"/>
      <c r="Y177" s="38"/>
      <c r="Z177" s="38"/>
      <c r="AA177" s="38"/>
      <c r="AB177" s="38"/>
      <c r="AC177" s="38">
        <f t="shared" si="2"/>
        <v>0</v>
      </c>
      <c r="AD177" s="38"/>
    </row>
    <row r="178" spans="1:30" ht="14.25" customHeight="1" thickBot="1" x14ac:dyDescent="0.3">
      <c r="A178" s="760"/>
      <c r="B178" s="1718" t="s">
        <v>240</v>
      </c>
      <c r="C178" s="1719"/>
      <c r="D178" s="1719"/>
      <c r="E178" s="1719"/>
      <c r="F178" s="1719"/>
      <c r="G178" s="1720"/>
      <c r="H178" s="1824" t="s">
        <v>107</v>
      </c>
      <c r="I178" s="1825"/>
      <c r="J178" s="1723"/>
      <c r="K178" s="1724"/>
      <c r="L178" s="1754" t="s">
        <v>241</v>
      </c>
      <c r="M178" s="1755"/>
      <c r="N178" s="1755"/>
      <c r="O178" s="1755"/>
      <c r="P178" s="1755"/>
      <c r="Q178" s="1827" t="s">
        <v>107</v>
      </c>
      <c r="R178" s="1757"/>
      <c r="S178" s="1758"/>
      <c r="T178" s="1826"/>
      <c r="U178" s="1823"/>
      <c r="V178" s="38">
        <f>IF(AND(Q178="ja",R178=""),1,0)</f>
        <v>0</v>
      </c>
      <c r="W178" s="40">
        <f>IF(H178="ja",Z178,0)</f>
        <v>0</v>
      </c>
      <c r="X178" s="40">
        <f>IF(H178="ja",AA178,0)</f>
        <v>0</v>
      </c>
      <c r="Y178" s="38" t="s">
        <v>208</v>
      </c>
      <c r="Z178" s="43">
        <v>3.5000000000000001E-3</v>
      </c>
      <c r="AA178" s="43">
        <v>2.5000000000000001E-3</v>
      </c>
      <c r="AB178" s="38"/>
      <c r="AC178" s="38">
        <f t="shared" si="2"/>
        <v>0</v>
      </c>
      <c r="AD178" s="38"/>
    </row>
    <row r="179" spans="1:30" ht="14.25" customHeight="1" thickBot="1" x14ac:dyDescent="0.3">
      <c r="A179" s="760"/>
      <c r="B179" s="1718"/>
      <c r="C179" s="1719"/>
      <c r="D179" s="1719"/>
      <c r="E179" s="1719"/>
      <c r="F179" s="1719"/>
      <c r="G179" s="1720"/>
      <c r="H179" s="1824"/>
      <c r="I179" s="1825"/>
      <c r="J179" s="1723"/>
      <c r="K179" s="1724"/>
      <c r="L179" s="1754" t="s">
        <v>242</v>
      </c>
      <c r="M179" s="1755"/>
      <c r="N179" s="1755"/>
      <c r="O179" s="1755"/>
      <c r="P179" s="1755"/>
      <c r="Q179" s="1756" t="s">
        <v>107</v>
      </c>
      <c r="R179" s="1757"/>
      <c r="S179" s="1758"/>
      <c r="T179" s="1826"/>
      <c r="U179" s="1823"/>
      <c r="V179" s="38">
        <f>IF(AND(Q179="ja",R179=""),1,0)</f>
        <v>0</v>
      </c>
      <c r="W179" s="42"/>
      <c r="X179" s="42"/>
      <c r="Y179" s="38"/>
      <c r="Z179" s="38"/>
      <c r="AA179" s="38"/>
      <c r="AB179" s="38"/>
      <c r="AC179" s="38">
        <f t="shared" si="2"/>
        <v>0</v>
      </c>
      <c r="AD179" s="38"/>
    </row>
    <row r="180" spans="1:30" ht="14.25" customHeight="1" thickBot="1" x14ac:dyDescent="0.3">
      <c r="A180" s="760"/>
      <c r="B180" s="1733"/>
      <c r="C180" s="1734"/>
      <c r="D180" s="1734"/>
      <c r="E180" s="1734"/>
      <c r="F180" s="1734"/>
      <c r="G180" s="1735"/>
      <c r="H180" s="1824"/>
      <c r="I180" s="1825"/>
      <c r="J180" s="1723"/>
      <c r="K180" s="1724"/>
      <c r="L180" s="1754"/>
      <c r="M180" s="1755"/>
      <c r="N180" s="1755"/>
      <c r="O180" s="1755"/>
      <c r="P180" s="1755"/>
      <c r="Q180" s="1756"/>
      <c r="R180" s="1757"/>
      <c r="S180" s="1758"/>
      <c r="T180" s="1826"/>
      <c r="U180" s="1823"/>
      <c r="V180" s="38"/>
      <c r="W180" s="42"/>
      <c r="X180" s="42"/>
      <c r="Y180" s="38"/>
      <c r="Z180" s="38"/>
      <c r="AA180" s="38"/>
      <c r="AB180" s="38"/>
      <c r="AC180" s="38">
        <f t="shared" si="2"/>
        <v>0</v>
      </c>
      <c r="AD180" s="38"/>
    </row>
    <row r="181" spans="1:30" ht="14.25" customHeight="1" thickBot="1" x14ac:dyDescent="0.3">
      <c r="A181" s="760"/>
      <c r="B181" s="1718" t="s">
        <v>243</v>
      </c>
      <c r="C181" s="1719"/>
      <c r="D181" s="1719"/>
      <c r="E181" s="1719"/>
      <c r="F181" s="1719"/>
      <c r="G181" s="1720"/>
      <c r="H181" s="1824" t="s">
        <v>107</v>
      </c>
      <c r="I181" s="1825"/>
      <c r="J181" s="1723"/>
      <c r="K181" s="1724"/>
      <c r="L181" s="1754"/>
      <c r="M181" s="1755"/>
      <c r="N181" s="1755"/>
      <c r="O181" s="1755"/>
      <c r="P181" s="1755"/>
      <c r="Q181" s="1756"/>
      <c r="R181" s="1757"/>
      <c r="S181" s="1758"/>
      <c r="T181" s="1826"/>
      <c r="U181" s="1823"/>
      <c r="V181" s="38"/>
      <c r="W181" s="40">
        <f>IF(H181="ja",Z181,0)</f>
        <v>0</v>
      </c>
      <c r="X181" s="40">
        <f>IF(H181="ja",AA181,0)</f>
        <v>0</v>
      </c>
      <c r="Y181" s="38" t="s">
        <v>181</v>
      </c>
      <c r="Z181" s="43">
        <v>1.4999999999999999E-2</v>
      </c>
      <c r="AA181" s="43">
        <v>8.0000000000000002E-3</v>
      </c>
      <c r="AB181" s="38"/>
      <c r="AC181" s="38">
        <f t="shared" si="2"/>
        <v>0</v>
      </c>
      <c r="AD181" s="38"/>
    </row>
    <row r="182" spans="1:30" ht="14.25" customHeight="1" thickBot="1" x14ac:dyDescent="0.3">
      <c r="A182" s="760"/>
      <c r="B182" s="1733"/>
      <c r="C182" s="1734"/>
      <c r="D182" s="1734"/>
      <c r="E182" s="1734"/>
      <c r="F182" s="1734"/>
      <c r="G182" s="1735"/>
      <c r="H182" s="1824"/>
      <c r="I182" s="1825"/>
      <c r="J182" s="1723"/>
      <c r="K182" s="1724"/>
      <c r="L182" s="1754" t="s">
        <v>244</v>
      </c>
      <c r="M182" s="1755"/>
      <c r="N182" s="1755"/>
      <c r="O182" s="1755"/>
      <c r="P182" s="1755"/>
      <c r="Q182" s="1756" t="s">
        <v>107</v>
      </c>
      <c r="R182" s="1757"/>
      <c r="S182" s="1758"/>
      <c r="T182" s="1826"/>
      <c r="U182" s="1823"/>
      <c r="V182" s="38">
        <f>IF(AND(Q182="ja",R182=""),1,0)</f>
        <v>0</v>
      </c>
      <c r="W182" s="42"/>
      <c r="X182" s="42"/>
      <c r="Y182" s="38"/>
      <c r="Z182" s="38"/>
      <c r="AA182" s="38"/>
      <c r="AB182" s="38"/>
      <c r="AC182" s="38">
        <f t="shared" si="2"/>
        <v>0</v>
      </c>
      <c r="AD182" s="38"/>
    </row>
    <row r="183" spans="1:30" ht="14.25" customHeight="1" thickBot="1" x14ac:dyDescent="0.3">
      <c r="A183" s="760"/>
      <c r="B183" s="1718" t="s">
        <v>245</v>
      </c>
      <c r="C183" s="1719"/>
      <c r="D183" s="1719"/>
      <c r="E183" s="1719"/>
      <c r="F183" s="1719"/>
      <c r="G183" s="1720"/>
      <c r="H183" s="1824" t="s">
        <v>107</v>
      </c>
      <c r="I183" s="1825"/>
      <c r="J183" s="1723"/>
      <c r="K183" s="1724"/>
      <c r="L183" s="1754"/>
      <c r="M183" s="1755"/>
      <c r="N183" s="1755"/>
      <c r="O183" s="1755"/>
      <c r="P183" s="1755"/>
      <c r="Q183" s="1756"/>
      <c r="R183" s="1757"/>
      <c r="S183" s="1758"/>
      <c r="T183" s="1826"/>
      <c r="U183" s="1823"/>
      <c r="V183" s="38"/>
      <c r="W183" s="40">
        <f>IF(H183="ja",Z183,0)</f>
        <v>0</v>
      </c>
      <c r="X183" s="40">
        <f>IF(H183="ja",AA183,0)</f>
        <v>0</v>
      </c>
      <c r="Y183" s="38" t="s">
        <v>182</v>
      </c>
      <c r="Z183" s="43">
        <v>2.5000000000000001E-3</v>
      </c>
      <c r="AA183" s="43">
        <v>2E-3</v>
      </c>
      <c r="AB183" s="38"/>
      <c r="AC183" s="38">
        <f t="shared" si="2"/>
        <v>0</v>
      </c>
      <c r="AD183" s="38"/>
    </row>
    <row r="184" spans="1:30" ht="14.25" customHeight="1" thickBot="1" x14ac:dyDescent="0.3">
      <c r="A184" s="760"/>
      <c r="B184" s="1718"/>
      <c r="C184" s="1719"/>
      <c r="D184" s="1719"/>
      <c r="E184" s="1719"/>
      <c r="F184" s="1719"/>
      <c r="G184" s="1720"/>
      <c r="H184" s="1824"/>
      <c r="I184" s="1825"/>
      <c r="J184" s="1723"/>
      <c r="K184" s="1724"/>
      <c r="L184" s="1754"/>
      <c r="M184" s="1755"/>
      <c r="N184" s="1755"/>
      <c r="O184" s="1755"/>
      <c r="P184" s="1755"/>
      <c r="Q184" s="1756"/>
      <c r="R184" s="1757"/>
      <c r="S184" s="1758"/>
      <c r="T184" s="1826"/>
      <c r="U184" s="1823"/>
      <c r="V184" s="38"/>
      <c r="W184" s="40"/>
      <c r="X184" s="40"/>
      <c r="Y184" s="38"/>
      <c r="Z184" s="43"/>
      <c r="AA184" s="43"/>
      <c r="AB184" s="38"/>
      <c r="AC184" s="38">
        <f t="shared" si="2"/>
        <v>0</v>
      </c>
      <c r="AD184" s="38"/>
    </row>
    <row r="185" spans="1:30" ht="14.25" customHeight="1" thickBot="1" x14ac:dyDescent="0.3">
      <c r="A185" s="760"/>
      <c r="B185" s="1718"/>
      <c r="C185" s="1719"/>
      <c r="D185" s="1719"/>
      <c r="E185" s="1719"/>
      <c r="F185" s="1719"/>
      <c r="G185" s="1720"/>
      <c r="H185" s="1824"/>
      <c r="I185" s="1825"/>
      <c r="J185" s="1723"/>
      <c r="K185" s="1724"/>
      <c r="L185" s="1754"/>
      <c r="M185" s="1755"/>
      <c r="N185" s="1755"/>
      <c r="O185" s="1755"/>
      <c r="P185" s="1755"/>
      <c r="Q185" s="1756"/>
      <c r="R185" s="1757"/>
      <c r="S185" s="1758"/>
      <c r="T185" s="1826"/>
      <c r="U185" s="1823"/>
      <c r="V185" s="38"/>
      <c r="W185" s="40"/>
      <c r="X185" s="40"/>
      <c r="Y185" s="38"/>
      <c r="Z185" s="43"/>
      <c r="AA185" s="43"/>
      <c r="AB185" s="38"/>
      <c r="AC185" s="38">
        <f t="shared" si="2"/>
        <v>0</v>
      </c>
      <c r="AD185" s="38"/>
    </row>
    <row r="186" spans="1:30" ht="14.25" customHeight="1" thickBot="1" x14ac:dyDescent="0.3">
      <c r="A186" s="760"/>
      <c r="B186" s="1718"/>
      <c r="C186" s="1719"/>
      <c r="D186" s="1719"/>
      <c r="E186" s="1719"/>
      <c r="F186" s="1719"/>
      <c r="G186" s="1720"/>
      <c r="H186" s="1824"/>
      <c r="I186" s="1825"/>
      <c r="J186" s="1723"/>
      <c r="K186" s="1724"/>
      <c r="L186" s="1754"/>
      <c r="M186" s="1755"/>
      <c r="N186" s="1755"/>
      <c r="O186" s="1755"/>
      <c r="P186" s="1755"/>
      <c r="Q186" s="1756"/>
      <c r="R186" s="1757"/>
      <c r="S186" s="1758"/>
      <c r="T186" s="1826"/>
      <c r="U186" s="1823"/>
      <c r="V186" s="38"/>
      <c r="W186" s="40"/>
      <c r="X186" s="40"/>
      <c r="Y186" s="38"/>
      <c r="Z186" s="43"/>
      <c r="AA186" s="43"/>
      <c r="AB186" s="38"/>
      <c r="AC186" s="38">
        <f t="shared" si="2"/>
        <v>0</v>
      </c>
      <c r="AD186" s="38"/>
    </row>
    <row r="187" spans="1:30" ht="14.25" customHeight="1" thickBot="1" x14ac:dyDescent="0.3">
      <c r="A187" s="760"/>
      <c r="B187" s="1718"/>
      <c r="C187" s="1719"/>
      <c r="D187" s="1719"/>
      <c r="E187" s="1719"/>
      <c r="F187" s="1719"/>
      <c r="G187" s="1720"/>
      <c r="H187" s="1824"/>
      <c r="I187" s="1825"/>
      <c r="J187" s="1723"/>
      <c r="K187" s="1724"/>
      <c r="L187" s="1754"/>
      <c r="M187" s="1755"/>
      <c r="N187" s="1755"/>
      <c r="O187" s="1755"/>
      <c r="P187" s="1755"/>
      <c r="Q187" s="1756"/>
      <c r="R187" s="1757"/>
      <c r="S187" s="1758"/>
      <c r="T187" s="1826"/>
      <c r="U187" s="1823"/>
      <c r="V187" s="38"/>
      <c r="W187" s="40"/>
      <c r="X187" s="40"/>
      <c r="Y187" s="38"/>
      <c r="Z187" s="43"/>
      <c r="AA187" s="43"/>
      <c r="AB187" s="38"/>
      <c r="AC187" s="38">
        <f t="shared" si="2"/>
        <v>0</v>
      </c>
      <c r="AD187" s="38"/>
    </row>
    <row r="188" spans="1:30" ht="14.25" customHeight="1" thickBot="1" x14ac:dyDescent="0.3">
      <c r="A188" s="760"/>
      <c r="B188" s="1718"/>
      <c r="C188" s="1719"/>
      <c r="D188" s="1719"/>
      <c r="E188" s="1719"/>
      <c r="F188" s="1719"/>
      <c r="G188" s="1720"/>
      <c r="H188" s="1824"/>
      <c r="I188" s="1825"/>
      <c r="J188" s="1723"/>
      <c r="K188" s="1724"/>
      <c r="L188" s="1754"/>
      <c r="M188" s="1755"/>
      <c r="N188" s="1755"/>
      <c r="O188" s="1755"/>
      <c r="P188" s="1755"/>
      <c r="Q188" s="1756"/>
      <c r="R188" s="1757"/>
      <c r="S188" s="1758"/>
      <c r="T188" s="1826"/>
      <c r="U188" s="1823"/>
      <c r="V188" s="38"/>
      <c r="W188" s="40"/>
      <c r="X188" s="40"/>
      <c r="Y188" s="38"/>
      <c r="Z188" s="43"/>
      <c r="AA188" s="43"/>
      <c r="AB188" s="38"/>
      <c r="AC188" s="38">
        <f t="shared" si="2"/>
        <v>0</v>
      </c>
      <c r="AD188" s="38"/>
    </row>
    <row r="189" spans="1:30" ht="14.25" customHeight="1" thickBot="1" x14ac:dyDescent="0.3">
      <c r="A189" s="760"/>
      <c r="B189" s="1718"/>
      <c r="C189" s="1719"/>
      <c r="D189" s="1719"/>
      <c r="E189" s="1719"/>
      <c r="F189" s="1719"/>
      <c r="G189" s="1720"/>
      <c r="H189" s="1824"/>
      <c r="I189" s="1825"/>
      <c r="J189" s="1723"/>
      <c r="K189" s="1724"/>
      <c r="L189" s="1754"/>
      <c r="M189" s="1755"/>
      <c r="N189" s="1755"/>
      <c r="O189" s="1755"/>
      <c r="P189" s="1755"/>
      <c r="Q189" s="1756"/>
      <c r="R189" s="1757"/>
      <c r="S189" s="1758"/>
      <c r="T189" s="1826"/>
      <c r="U189" s="1823"/>
      <c r="V189" s="38"/>
      <c r="W189" s="40"/>
      <c r="X189" s="40"/>
      <c r="Y189" s="38"/>
      <c r="Z189" s="43"/>
      <c r="AA189" s="43"/>
      <c r="AB189" s="38"/>
      <c r="AC189" s="38">
        <f t="shared" si="2"/>
        <v>0</v>
      </c>
      <c r="AD189" s="38"/>
    </row>
    <row r="190" spans="1:30" ht="14.25" customHeight="1" thickBot="1" x14ac:dyDescent="0.3">
      <c r="A190" s="760"/>
      <c r="B190" s="1718"/>
      <c r="C190" s="1719"/>
      <c r="D190" s="1719"/>
      <c r="E190" s="1719"/>
      <c r="F190" s="1719"/>
      <c r="G190" s="1720"/>
      <c r="H190" s="1824"/>
      <c r="I190" s="1825"/>
      <c r="J190" s="1723"/>
      <c r="K190" s="1724"/>
      <c r="L190" s="1754"/>
      <c r="M190" s="1755"/>
      <c r="N190" s="1755"/>
      <c r="O190" s="1755"/>
      <c r="P190" s="1755"/>
      <c r="Q190" s="1756"/>
      <c r="R190" s="1757"/>
      <c r="S190" s="1758"/>
      <c r="T190" s="1826"/>
      <c r="U190" s="1823"/>
      <c r="V190" s="38"/>
      <c r="W190" s="40"/>
      <c r="X190" s="40"/>
      <c r="Y190" s="38"/>
      <c r="Z190" s="43"/>
      <c r="AA190" s="43"/>
      <c r="AB190" s="38"/>
      <c r="AC190" s="38">
        <f t="shared" ref="AC190:AC253" si="3">IF(Q190="ja",1,0)</f>
        <v>0</v>
      </c>
      <c r="AD190" s="38"/>
    </row>
    <row r="191" spans="1:30" ht="14.25" customHeight="1" thickBot="1" x14ac:dyDescent="0.3">
      <c r="A191" s="760"/>
      <c r="B191" s="1718"/>
      <c r="C191" s="1719"/>
      <c r="D191" s="1719"/>
      <c r="E191" s="1719"/>
      <c r="F191" s="1719"/>
      <c r="G191" s="1720"/>
      <c r="H191" s="1824"/>
      <c r="I191" s="1825"/>
      <c r="J191" s="1723"/>
      <c r="K191" s="1724"/>
      <c r="L191" s="1754"/>
      <c r="M191" s="1755"/>
      <c r="N191" s="1755"/>
      <c r="O191" s="1755"/>
      <c r="P191" s="1755"/>
      <c r="Q191" s="1756"/>
      <c r="R191" s="1757"/>
      <c r="S191" s="1758"/>
      <c r="T191" s="1826"/>
      <c r="U191" s="1823"/>
      <c r="V191" s="38"/>
      <c r="W191" s="40"/>
      <c r="X191" s="40"/>
      <c r="Y191" s="38"/>
      <c r="Z191" s="43"/>
      <c r="AA191" s="43"/>
      <c r="AB191" s="38"/>
      <c r="AC191" s="38">
        <f t="shared" si="3"/>
        <v>0</v>
      </c>
      <c r="AD191" s="38"/>
    </row>
    <row r="192" spans="1:30" ht="14.25" customHeight="1" thickBot="1" x14ac:dyDescent="0.3">
      <c r="A192" s="760"/>
      <c r="B192" s="1733"/>
      <c r="C192" s="1734"/>
      <c r="D192" s="1734"/>
      <c r="E192" s="1734"/>
      <c r="F192" s="1734"/>
      <c r="G192" s="1735"/>
      <c r="H192" s="1824"/>
      <c r="I192" s="1825"/>
      <c r="J192" s="1723"/>
      <c r="K192" s="1724"/>
      <c r="L192" s="1754"/>
      <c r="M192" s="1755"/>
      <c r="N192" s="1755"/>
      <c r="O192" s="1755"/>
      <c r="P192" s="1755"/>
      <c r="Q192" s="1756"/>
      <c r="R192" s="1757"/>
      <c r="S192" s="1758"/>
      <c r="T192" s="1826"/>
      <c r="U192" s="1823"/>
      <c r="V192" s="38"/>
      <c r="W192" s="42"/>
      <c r="X192" s="42"/>
      <c r="Y192" s="38"/>
      <c r="Z192" s="43"/>
      <c r="AA192" s="38"/>
      <c r="AB192" s="38"/>
      <c r="AC192" s="38">
        <f t="shared" si="3"/>
        <v>0</v>
      </c>
      <c r="AD192" s="38"/>
    </row>
    <row r="193" spans="1:30" ht="14.25" customHeight="1" thickBot="1" x14ac:dyDescent="0.3">
      <c r="A193" s="760"/>
      <c r="B193" s="1718" t="s">
        <v>246</v>
      </c>
      <c r="C193" s="1719"/>
      <c r="D193" s="1719"/>
      <c r="E193" s="1719"/>
      <c r="F193" s="1719"/>
      <c r="G193" s="1720"/>
      <c r="H193" s="1824" t="s">
        <v>107</v>
      </c>
      <c r="I193" s="1825"/>
      <c r="J193" s="1723"/>
      <c r="K193" s="1724"/>
      <c r="L193" s="1754" t="s">
        <v>247</v>
      </c>
      <c r="M193" s="1755"/>
      <c r="N193" s="1755"/>
      <c r="O193" s="1755"/>
      <c r="P193" s="1755"/>
      <c r="Q193" s="1756" t="s">
        <v>107</v>
      </c>
      <c r="R193" s="1757"/>
      <c r="S193" s="1758"/>
      <c r="T193" s="1826"/>
      <c r="U193" s="1823"/>
      <c r="V193" s="38">
        <f>IF(AND(Q193="ja",R193=""),1,0)</f>
        <v>0</v>
      </c>
      <c r="W193" s="40">
        <f>IF(H193="ja",Z193,0)</f>
        <v>0</v>
      </c>
      <c r="X193" s="40">
        <f>IF(H193="ja",AA193,0)</f>
        <v>0</v>
      </c>
      <c r="Y193" s="38" t="s">
        <v>193</v>
      </c>
      <c r="Z193" s="43">
        <v>1E-3</v>
      </c>
      <c r="AA193" s="43">
        <v>1.5E-3</v>
      </c>
      <c r="AB193" s="38"/>
      <c r="AC193" s="38">
        <f t="shared" si="3"/>
        <v>0</v>
      </c>
      <c r="AD193" s="38"/>
    </row>
    <row r="194" spans="1:30" ht="14.25" customHeight="1" thickBot="1" x14ac:dyDescent="0.3">
      <c r="A194" s="760"/>
      <c r="B194" s="1718"/>
      <c r="C194" s="1719"/>
      <c r="D194" s="1719"/>
      <c r="E194" s="1719"/>
      <c r="F194" s="1719"/>
      <c r="G194" s="1720"/>
      <c r="H194" s="1828"/>
      <c r="I194" s="1825"/>
      <c r="J194" s="1723"/>
      <c r="K194" s="1724"/>
      <c r="L194" s="1829"/>
      <c r="M194" s="1830"/>
      <c r="N194" s="1830"/>
      <c r="O194" s="1830"/>
      <c r="P194" s="1830"/>
      <c r="Q194" s="1777"/>
      <c r="R194" s="1831"/>
      <c r="S194" s="1832"/>
      <c r="T194" s="1826"/>
      <c r="U194" s="1823"/>
      <c r="V194" s="38"/>
      <c r="W194" s="40"/>
      <c r="X194" s="40"/>
      <c r="Y194" s="38"/>
      <c r="Z194" s="43"/>
      <c r="AA194" s="43"/>
      <c r="AB194" s="38"/>
      <c r="AC194" s="38">
        <f t="shared" si="3"/>
        <v>0</v>
      </c>
      <c r="AD194" s="38"/>
    </row>
    <row r="195" spans="1:30" ht="14.25" customHeight="1" thickBot="1" x14ac:dyDescent="0.3">
      <c r="A195" s="760"/>
      <c r="B195" s="1718"/>
      <c r="C195" s="1719"/>
      <c r="D195" s="1719"/>
      <c r="E195" s="1719"/>
      <c r="F195" s="1719"/>
      <c r="G195" s="1720"/>
      <c r="H195" s="1828"/>
      <c r="I195" s="1825"/>
      <c r="J195" s="1723"/>
      <c r="K195" s="1724"/>
      <c r="L195" s="1829"/>
      <c r="M195" s="1830"/>
      <c r="N195" s="1830"/>
      <c r="O195" s="1830"/>
      <c r="P195" s="1830"/>
      <c r="Q195" s="1777"/>
      <c r="R195" s="1831"/>
      <c r="S195" s="1832"/>
      <c r="T195" s="1826"/>
      <c r="U195" s="1823"/>
      <c r="V195" s="38"/>
      <c r="W195" s="40"/>
      <c r="X195" s="40"/>
      <c r="Y195" s="38"/>
      <c r="Z195" s="43"/>
      <c r="AA195" s="43"/>
      <c r="AB195" s="38"/>
      <c r="AC195" s="38">
        <f t="shared" si="3"/>
        <v>0</v>
      </c>
      <c r="AD195" s="38"/>
    </row>
    <row r="196" spans="1:30" ht="14.25" customHeight="1" thickBot="1" x14ac:dyDescent="0.3">
      <c r="A196" s="760"/>
      <c r="B196" s="1733"/>
      <c r="C196" s="1734"/>
      <c r="D196" s="1734"/>
      <c r="E196" s="1734"/>
      <c r="F196" s="1734"/>
      <c r="G196" s="1735"/>
      <c r="H196" s="1833"/>
      <c r="I196" s="1834"/>
      <c r="J196" s="1835"/>
      <c r="K196" s="1836"/>
      <c r="L196" s="1837"/>
      <c r="M196" s="1838"/>
      <c r="N196" s="1838"/>
      <c r="O196" s="1838"/>
      <c r="P196" s="1838"/>
      <c r="Q196" s="1839"/>
      <c r="R196" s="1840"/>
      <c r="S196" s="1841"/>
      <c r="T196" s="1842"/>
      <c r="U196" s="1823"/>
      <c r="V196" s="38"/>
      <c r="W196" s="41">
        <f>SUM(W172:W193)</f>
        <v>0</v>
      </c>
      <c r="X196" s="41">
        <f>SUM(X172:X193)</f>
        <v>0</v>
      </c>
      <c r="Y196" s="38"/>
      <c r="Z196" s="38"/>
      <c r="AA196" s="38"/>
      <c r="AB196" s="38"/>
      <c r="AC196" s="38">
        <f t="shared" si="3"/>
        <v>0</v>
      </c>
      <c r="AD196" s="38"/>
    </row>
    <row r="197" spans="1:30" ht="14.25" customHeight="1" thickBot="1" x14ac:dyDescent="0.3">
      <c r="A197" s="760"/>
      <c r="B197" s="1798" t="s">
        <v>248</v>
      </c>
      <c r="C197" s="1799"/>
      <c r="D197" s="1799"/>
      <c r="E197" s="1799"/>
      <c r="F197" s="1799"/>
      <c r="G197" s="1843">
        <f>COUNTIF(H172:H196,"ja")</f>
        <v>0</v>
      </c>
      <c r="H197" s="1844"/>
      <c r="I197" s="1802"/>
      <c r="J197" s="1803"/>
      <c r="K197" s="1804"/>
      <c r="L197" s="1845">
        <f>SUM(R172:S196)</f>
        <v>0</v>
      </c>
      <c r="M197" s="1846"/>
      <c r="N197" s="1846"/>
      <c r="O197" s="1846"/>
      <c r="P197" s="1846"/>
      <c r="Q197" s="1807"/>
      <c r="R197" s="1808"/>
      <c r="S197" s="1809"/>
      <c r="T197" s="1810"/>
      <c r="U197" s="1811" t="s">
        <v>170</v>
      </c>
      <c r="V197" s="38"/>
      <c r="W197" s="315">
        <f>IF(AND($B$129=$T$19,I197=""),1,0)</f>
        <v>0</v>
      </c>
      <c r="X197" s="315">
        <f>G214</f>
        <v>0</v>
      </c>
      <c r="Y197" s="96" t="s">
        <v>249</v>
      </c>
      <c r="Z197" s="96"/>
      <c r="AA197" s="96"/>
      <c r="AB197" s="38"/>
      <c r="AC197" s="38">
        <f t="shared" si="3"/>
        <v>0</v>
      </c>
      <c r="AD197" s="38"/>
    </row>
    <row r="198" spans="1:30" ht="14.25" customHeight="1" thickBot="1" x14ac:dyDescent="0.3">
      <c r="A198" s="760"/>
      <c r="B198" s="1812" t="s">
        <v>250</v>
      </c>
      <c r="C198" s="1813"/>
      <c r="D198" s="1813"/>
      <c r="E198" s="1813"/>
      <c r="F198" s="1813"/>
      <c r="G198" s="1814"/>
      <c r="H198" s="1815" t="s">
        <v>107</v>
      </c>
      <c r="I198" s="1816">
        <f>IF(I52="Gebäude",W214,X214)</f>
        <v>0</v>
      </c>
      <c r="J198" s="1708">
        <f>I198*I129</f>
        <v>0</v>
      </c>
      <c r="K198" s="1709"/>
      <c r="L198" s="1847" t="s">
        <v>251</v>
      </c>
      <c r="M198" s="1848"/>
      <c r="N198" s="1848"/>
      <c r="O198" s="1848"/>
      <c r="P198" s="1848"/>
      <c r="Q198" s="1756" t="s">
        <v>107</v>
      </c>
      <c r="R198" s="1757"/>
      <c r="S198" s="1758"/>
      <c r="T198" s="1822" t="str">
        <f>IFERROR(IF((VLOOKUP(U198,Überblick!$M$124:$N$132,2))="ja","ja","nein"),"")</f>
        <v/>
      </c>
      <c r="U198" s="1823"/>
      <c r="V198" s="38">
        <f>IF(AND(Q198="ja",R198=""),1,0)</f>
        <v>0</v>
      </c>
      <c r="W198" s="40">
        <f>IF(H198="ja",Z198,0)</f>
        <v>0</v>
      </c>
      <c r="X198" s="40">
        <f>IF(H198="ja",AA198,0)</f>
        <v>0</v>
      </c>
      <c r="Y198" s="38" t="s">
        <v>203</v>
      </c>
      <c r="Z198" s="43">
        <v>2.5000000000000001E-3</v>
      </c>
      <c r="AA198" s="43">
        <v>2E-3</v>
      </c>
      <c r="AB198" s="38"/>
      <c r="AC198" s="38">
        <f t="shared" si="3"/>
        <v>0</v>
      </c>
      <c r="AD198" s="38">
        <f>IF(AND(I198+SUM(V198:V213)&gt;0,U198=""),1,0)</f>
        <v>0</v>
      </c>
    </row>
    <row r="199" spans="1:30" ht="14.25" customHeight="1" thickBot="1" x14ac:dyDescent="0.3">
      <c r="A199" s="760"/>
      <c r="B199" s="1849" t="s">
        <v>252</v>
      </c>
      <c r="C199" s="1850"/>
      <c r="D199" s="1850"/>
      <c r="E199" s="1850"/>
      <c r="F199" s="1850"/>
      <c r="G199" s="1851"/>
      <c r="H199" s="1852" t="s">
        <v>107</v>
      </c>
      <c r="I199" s="1825"/>
      <c r="J199" s="1723"/>
      <c r="K199" s="1724"/>
      <c r="L199" s="1853"/>
      <c r="M199" s="1854"/>
      <c r="N199" s="1854"/>
      <c r="O199" s="1854"/>
      <c r="P199" s="1854"/>
      <c r="Q199" s="1756"/>
      <c r="R199" s="1757"/>
      <c r="S199" s="1758"/>
      <c r="T199" s="1826"/>
      <c r="U199" s="1823"/>
      <c r="V199" s="38"/>
      <c r="W199" s="40">
        <f>IF(H199="ja",Z199,0)</f>
        <v>0</v>
      </c>
      <c r="X199" s="40">
        <f>IF(H199="ja",AA199,0)</f>
        <v>0</v>
      </c>
      <c r="Y199" s="38" t="s">
        <v>177</v>
      </c>
      <c r="Z199" s="43">
        <v>1E-3</v>
      </c>
      <c r="AA199" s="43">
        <v>1E-3</v>
      </c>
      <c r="AB199" s="38"/>
      <c r="AC199" s="38">
        <f t="shared" si="3"/>
        <v>0</v>
      </c>
      <c r="AD199" s="38"/>
    </row>
    <row r="200" spans="1:30" ht="14.25" customHeight="1" thickBot="1" x14ac:dyDescent="0.3">
      <c r="A200" s="760"/>
      <c r="B200" s="1747" t="s">
        <v>253</v>
      </c>
      <c r="C200" s="1748"/>
      <c r="D200" s="1748"/>
      <c r="E200" s="1748"/>
      <c r="F200" s="1748"/>
      <c r="G200" s="1749"/>
      <c r="H200" s="1824" t="s">
        <v>107</v>
      </c>
      <c r="I200" s="1825"/>
      <c r="J200" s="1723"/>
      <c r="K200" s="1724"/>
      <c r="L200" s="1853"/>
      <c r="M200" s="1854"/>
      <c r="N200" s="1854"/>
      <c r="O200" s="1854"/>
      <c r="P200" s="1854"/>
      <c r="Q200" s="1756"/>
      <c r="R200" s="1757"/>
      <c r="S200" s="1758"/>
      <c r="T200" s="1826"/>
      <c r="U200" s="1823"/>
      <c r="V200" s="38"/>
      <c r="W200" s="40">
        <f>IF(H200="ja",Z200,0)</f>
        <v>0</v>
      </c>
      <c r="X200" s="40">
        <f>IF(H200="ja",AA200,0)</f>
        <v>0</v>
      </c>
      <c r="Y200" s="38" t="s">
        <v>208</v>
      </c>
      <c r="Z200" s="43">
        <v>0.02</v>
      </c>
      <c r="AA200" s="43">
        <v>0.02</v>
      </c>
      <c r="AB200" s="38"/>
      <c r="AC200" s="38">
        <f t="shared" si="3"/>
        <v>0</v>
      </c>
      <c r="AD200" s="38"/>
    </row>
    <row r="201" spans="1:30" ht="14.25" customHeight="1" thickBot="1" x14ac:dyDescent="0.3">
      <c r="A201" s="760"/>
      <c r="B201" s="1718"/>
      <c r="C201" s="1719"/>
      <c r="D201" s="1719"/>
      <c r="E201" s="1719"/>
      <c r="F201" s="1719"/>
      <c r="G201" s="1720"/>
      <c r="H201" s="1824"/>
      <c r="I201" s="1825"/>
      <c r="J201" s="1723"/>
      <c r="K201" s="1724"/>
      <c r="L201" s="1754" t="s">
        <v>254</v>
      </c>
      <c r="M201" s="1755"/>
      <c r="N201" s="1755"/>
      <c r="O201" s="1755"/>
      <c r="P201" s="1755"/>
      <c r="Q201" s="1756" t="s">
        <v>107</v>
      </c>
      <c r="R201" s="1757"/>
      <c r="S201" s="1758"/>
      <c r="T201" s="1826"/>
      <c r="U201" s="1823"/>
      <c r="V201" s="38">
        <f>IF(AND(Q201="ja",R201=""),1,0)</f>
        <v>0</v>
      </c>
      <c r="W201" s="42"/>
      <c r="X201" s="42"/>
      <c r="Y201" s="38"/>
      <c r="Z201" s="38"/>
      <c r="AA201" s="38"/>
      <c r="AB201" s="38"/>
      <c r="AC201" s="38">
        <f t="shared" si="3"/>
        <v>0</v>
      </c>
      <c r="AD201" s="38"/>
    </row>
    <row r="202" spans="1:30" ht="14.25" customHeight="1" thickBot="1" x14ac:dyDescent="0.3">
      <c r="A202" s="760"/>
      <c r="B202" s="1718"/>
      <c r="C202" s="1719"/>
      <c r="D202" s="1719"/>
      <c r="E202" s="1719"/>
      <c r="F202" s="1719"/>
      <c r="G202" s="1720"/>
      <c r="H202" s="1824"/>
      <c r="I202" s="1825"/>
      <c r="J202" s="1723"/>
      <c r="K202" s="1724"/>
      <c r="L202" s="1754"/>
      <c r="M202" s="1755"/>
      <c r="N202" s="1755"/>
      <c r="O202" s="1755"/>
      <c r="P202" s="1755"/>
      <c r="Q202" s="1756"/>
      <c r="R202" s="1757"/>
      <c r="S202" s="1758"/>
      <c r="T202" s="1826"/>
      <c r="U202" s="1823"/>
      <c r="V202" s="38"/>
      <c r="W202" s="42"/>
      <c r="X202" s="42"/>
      <c r="Y202" s="38"/>
      <c r="Z202" s="38"/>
      <c r="AA202" s="38"/>
      <c r="AB202" s="38"/>
      <c r="AC202" s="38">
        <f t="shared" si="3"/>
        <v>0</v>
      </c>
      <c r="AD202" s="38"/>
    </row>
    <row r="203" spans="1:30" ht="14.25" customHeight="1" thickBot="1" x14ac:dyDescent="0.3">
      <c r="A203" s="760"/>
      <c r="B203" s="1718"/>
      <c r="C203" s="1719"/>
      <c r="D203" s="1719"/>
      <c r="E203" s="1719"/>
      <c r="F203" s="1719"/>
      <c r="G203" s="1720"/>
      <c r="H203" s="1824"/>
      <c r="I203" s="1825"/>
      <c r="J203" s="1723"/>
      <c r="K203" s="1724"/>
      <c r="L203" s="1754"/>
      <c r="M203" s="1755"/>
      <c r="N203" s="1755"/>
      <c r="O203" s="1755"/>
      <c r="P203" s="1755"/>
      <c r="Q203" s="1756"/>
      <c r="R203" s="1757"/>
      <c r="S203" s="1758"/>
      <c r="T203" s="1826"/>
      <c r="U203" s="1823"/>
      <c r="V203" s="38"/>
      <c r="W203" s="42"/>
      <c r="X203" s="42"/>
      <c r="Y203" s="38"/>
      <c r="Z203" s="38"/>
      <c r="AA203" s="38"/>
      <c r="AB203" s="38"/>
      <c r="AC203" s="38">
        <f t="shared" si="3"/>
        <v>0</v>
      </c>
      <c r="AD203" s="38"/>
    </row>
    <row r="204" spans="1:30" ht="14.25" customHeight="1" thickBot="1" x14ac:dyDescent="0.3">
      <c r="A204" s="760"/>
      <c r="B204" s="1733"/>
      <c r="C204" s="1734"/>
      <c r="D204" s="1734"/>
      <c r="E204" s="1734"/>
      <c r="F204" s="1734"/>
      <c r="G204" s="1735"/>
      <c r="H204" s="1824"/>
      <c r="I204" s="1825"/>
      <c r="J204" s="1723"/>
      <c r="K204" s="1724"/>
      <c r="L204" s="1754" t="s">
        <v>255</v>
      </c>
      <c r="M204" s="1755"/>
      <c r="N204" s="1755"/>
      <c r="O204" s="1755"/>
      <c r="P204" s="1755"/>
      <c r="Q204" s="1756" t="s">
        <v>107</v>
      </c>
      <c r="R204" s="1757"/>
      <c r="S204" s="1758"/>
      <c r="T204" s="1826"/>
      <c r="U204" s="1823"/>
      <c r="V204" s="38">
        <f>IF(AND(Q204="ja",R204=""),1,0)</f>
        <v>0</v>
      </c>
      <c r="W204" s="42"/>
      <c r="X204" s="42"/>
      <c r="Y204" s="38"/>
      <c r="Z204" s="38"/>
      <c r="AA204" s="38"/>
      <c r="AB204" s="38"/>
      <c r="AC204" s="38">
        <f t="shared" si="3"/>
        <v>0</v>
      </c>
      <c r="AD204" s="38"/>
    </row>
    <row r="205" spans="1:30" ht="14.25" customHeight="1" thickBot="1" x14ac:dyDescent="0.3">
      <c r="A205" s="760"/>
      <c r="B205" s="1849" t="s">
        <v>256</v>
      </c>
      <c r="C205" s="1850"/>
      <c r="D205" s="1850"/>
      <c r="E205" s="1850"/>
      <c r="F205" s="1850"/>
      <c r="G205" s="1851"/>
      <c r="H205" s="1852" t="s">
        <v>107</v>
      </c>
      <c r="I205" s="1825"/>
      <c r="J205" s="1723"/>
      <c r="K205" s="1724"/>
      <c r="L205" s="1754"/>
      <c r="M205" s="1755"/>
      <c r="N205" s="1755"/>
      <c r="O205" s="1755"/>
      <c r="P205" s="1755"/>
      <c r="Q205" s="1756"/>
      <c r="R205" s="1757"/>
      <c r="S205" s="1758"/>
      <c r="T205" s="1826"/>
      <c r="U205" s="1823"/>
      <c r="V205" s="38"/>
      <c r="W205" s="40">
        <f>IF(H205="ja",Z205,0)</f>
        <v>0</v>
      </c>
      <c r="X205" s="40">
        <f>IF(H205="ja",AA205,0)</f>
        <v>0</v>
      </c>
      <c r="Y205" s="38" t="s">
        <v>181</v>
      </c>
      <c r="Z205" s="43">
        <v>2.5000000000000001E-3</v>
      </c>
      <c r="AA205" s="43">
        <v>1E-3</v>
      </c>
      <c r="AB205" s="38"/>
      <c r="AC205" s="38">
        <f t="shared" si="3"/>
        <v>0</v>
      </c>
      <c r="AD205" s="38"/>
    </row>
    <row r="206" spans="1:30" ht="14.25" customHeight="1" thickBot="1" x14ac:dyDescent="0.3">
      <c r="A206" s="760"/>
      <c r="B206" s="1747" t="s">
        <v>257</v>
      </c>
      <c r="C206" s="1748"/>
      <c r="D206" s="1748"/>
      <c r="E206" s="1748"/>
      <c r="F206" s="1748"/>
      <c r="G206" s="1749"/>
      <c r="H206" s="1824" t="s">
        <v>107</v>
      </c>
      <c r="I206" s="1825"/>
      <c r="J206" s="1723"/>
      <c r="K206" s="1724"/>
      <c r="L206" s="1754"/>
      <c r="M206" s="1755"/>
      <c r="N206" s="1755"/>
      <c r="O206" s="1755"/>
      <c r="P206" s="1755"/>
      <c r="Q206" s="1756"/>
      <c r="R206" s="1757"/>
      <c r="S206" s="1758"/>
      <c r="T206" s="1826"/>
      <c r="U206" s="1823"/>
      <c r="V206" s="38"/>
      <c r="W206" s="40">
        <f>IF(H206="ja",Z206,0)</f>
        <v>0</v>
      </c>
      <c r="X206" s="40">
        <f>IF(H206="ja",AA206,0)</f>
        <v>0</v>
      </c>
      <c r="Y206" s="38" t="s">
        <v>182</v>
      </c>
      <c r="Z206" s="43">
        <v>8.0000000000000002E-3</v>
      </c>
      <c r="AA206" s="43">
        <v>2.5000000000000001E-3</v>
      </c>
      <c r="AB206" s="38"/>
      <c r="AC206" s="38">
        <f t="shared" si="3"/>
        <v>0</v>
      </c>
      <c r="AD206" s="38"/>
    </row>
    <row r="207" spans="1:30" ht="14.25" customHeight="1" thickBot="1" x14ac:dyDescent="0.3">
      <c r="A207" s="760"/>
      <c r="B207" s="1733"/>
      <c r="C207" s="1734"/>
      <c r="D207" s="1734"/>
      <c r="E207" s="1734"/>
      <c r="F207" s="1734"/>
      <c r="G207" s="1735"/>
      <c r="H207" s="1824"/>
      <c r="I207" s="1825"/>
      <c r="J207" s="1723"/>
      <c r="K207" s="1724"/>
      <c r="L207" s="1754"/>
      <c r="M207" s="1755"/>
      <c r="N207" s="1755"/>
      <c r="O207" s="1755"/>
      <c r="P207" s="1755"/>
      <c r="Q207" s="1756" t="s">
        <v>107</v>
      </c>
      <c r="R207" s="1757"/>
      <c r="S207" s="1758"/>
      <c r="T207" s="1826"/>
      <c r="U207" s="1823"/>
      <c r="V207" s="38">
        <f>IF(AND(Q207="ja",R207=""),1,0)</f>
        <v>0</v>
      </c>
      <c r="W207" s="42"/>
      <c r="X207" s="42"/>
      <c r="Y207" s="38"/>
      <c r="Z207" s="38"/>
      <c r="AA207" s="38"/>
      <c r="AB207" s="38"/>
      <c r="AC207" s="38">
        <f t="shared" si="3"/>
        <v>0</v>
      </c>
      <c r="AD207" s="38"/>
    </row>
    <row r="208" spans="1:30" ht="14.25" customHeight="1" thickBot="1" x14ac:dyDescent="0.3">
      <c r="A208" s="760"/>
      <c r="B208" s="1747" t="s">
        <v>258</v>
      </c>
      <c r="C208" s="1748"/>
      <c r="D208" s="1748"/>
      <c r="E208" s="1748"/>
      <c r="F208" s="1748"/>
      <c r="G208" s="1749"/>
      <c r="H208" s="1824" t="s">
        <v>107</v>
      </c>
      <c r="I208" s="1825"/>
      <c r="J208" s="1723"/>
      <c r="K208" s="1724"/>
      <c r="L208" s="1754"/>
      <c r="M208" s="1755"/>
      <c r="N208" s="1755"/>
      <c r="O208" s="1755"/>
      <c r="P208" s="1755"/>
      <c r="Q208" s="1756"/>
      <c r="R208" s="1757"/>
      <c r="S208" s="1758"/>
      <c r="T208" s="1826"/>
      <c r="U208" s="1823"/>
      <c r="V208" s="38"/>
      <c r="W208" s="40">
        <f>IF(H208="ja",Z208,0)</f>
        <v>0</v>
      </c>
      <c r="X208" s="40">
        <f>IF(H208="ja",AA208,0)</f>
        <v>0</v>
      </c>
      <c r="Y208" s="38" t="s">
        <v>193</v>
      </c>
      <c r="Z208" s="43">
        <v>1E-3</v>
      </c>
      <c r="AA208" s="43">
        <v>1E-3</v>
      </c>
      <c r="AB208" s="38"/>
      <c r="AC208" s="38">
        <f t="shared" si="3"/>
        <v>0</v>
      </c>
      <c r="AD208" s="38"/>
    </row>
    <row r="209" spans="1:30" ht="14.25" customHeight="1" thickBot="1" x14ac:dyDescent="0.3">
      <c r="A209" s="760"/>
      <c r="B209" s="1733"/>
      <c r="C209" s="1734"/>
      <c r="D209" s="1734"/>
      <c r="E209" s="1734"/>
      <c r="F209" s="1734"/>
      <c r="G209" s="1735"/>
      <c r="H209" s="1824"/>
      <c r="I209" s="1825"/>
      <c r="J209" s="1723"/>
      <c r="K209" s="1724"/>
      <c r="L209" s="1754"/>
      <c r="M209" s="1755"/>
      <c r="N209" s="1755"/>
      <c r="O209" s="1755"/>
      <c r="P209" s="1755"/>
      <c r="Q209" s="1756"/>
      <c r="R209" s="1757"/>
      <c r="S209" s="1758"/>
      <c r="T209" s="1826"/>
      <c r="U209" s="1823"/>
      <c r="V209" s="38"/>
      <c r="W209" s="42"/>
      <c r="X209" s="42"/>
      <c r="Y209" s="38"/>
      <c r="Z209" s="38"/>
      <c r="AA209" s="38"/>
      <c r="AB209" s="38"/>
      <c r="AC209" s="38">
        <f t="shared" si="3"/>
        <v>0</v>
      </c>
      <c r="AD209" s="38"/>
    </row>
    <row r="210" spans="1:30" ht="14.25" customHeight="1" thickBot="1" x14ac:dyDescent="0.3">
      <c r="A210" s="760"/>
      <c r="B210" s="1718" t="s">
        <v>259</v>
      </c>
      <c r="C210" s="1719"/>
      <c r="D210" s="1719"/>
      <c r="E210" s="1719"/>
      <c r="F210" s="1719"/>
      <c r="G210" s="1720"/>
      <c r="H210" s="1824" t="s">
        <v>107</v>
      </c>
      <c r="I210" s="1825"/>
      <c r="J210" s="1723"/>
      <c r="K210" s="1724"/>
      <c r="L210" s="1754"/>
      <c r="M210" s="1755"/>
      <c r="N210" s="1755"/>
      <c r="O210" s="1755"/>
      <c r="P210" s="1755"/>
      <c r="Q210" s="1756" t="s">
        <v>107</v>
      </c>
      <c r="R210" s="1757"/>
      <c r="S210" s="1758"/>
      <c r="T210" s="1826"/>
      <c r="U210" s="1823"/>
      <c r="V210" s="38">
        <f>IF(AND(Q210="ja",R210=""),1,0)</f>
        <v>0</v>
      </c>
      <c r="W210" s="40">
        <f>IF(H210="ja",Z210,0)</f>
        <v>0</v>
      </c>
      <c r="X210" s="40">
        <f>IF(H210="ja",AA210,0)</f>
        <v>0</v>
      </c>
      <c r="Y210" s="38" t="s">
        <v>194</v>
      </c>
      <c r="Z210" s="43">
        <v>2.5000000000000001E-3</v>
      </c>
      <c r="AA210" s="43">
        <v>1E-3</v>
      </c>
      <c r="AB210" s="38"/>
      <c r="AC210" s="38">
        <f t="shared" si="3"/>
        <v>0</v>
      </c>
      <c r="AD210" s="38"/>
    </row>
    <row r="211" spans="1:30" ht="14.25" customHeight="1" thickBot="1" x14ac:dyDescent="0.3">
      <c r="A211" s="760"/>
      <c r="B211" s="1718"/>
      <c r="C211" s="1719"/>
      <c r="D211" s="1719"/>
      <c r="E211" s="1719"/>
      <c r="F211" s="1719"/>
      <c r="G211" s="1720"/>
      <c r="H211" s="1824"/>
      <c r="I211" s="1825"/>
      <c r="J211" s="1723"/>
      <c r="K211" s="1724"/>
      <c r="L211" s="1754"/>
      <c r="M211" s="1755"/>
      <c r="N211" s="1755"/>
      <c r="O211" s="1755"/>
      <c r="P211" s="1755"/>
      <c r="Q211" s="1756"/>
      <c r="R211" s="1757"/>
      <c r="S211" s="1758"/>
      <c r="T211" s="1826"/>
      <c r="U211" s="1823"/>
      <c r="V211" s="38"/>
      <c r="W211" s="42"/>
      <c r="X211" s="42"/>
      <c r="Y211" s="38"/>
      <c r="Z211" s="38"/>
      <c r="AA211" s="38"/>
      <c r="AB211" s="38"/>
      <c r="AC211" s="38">
        <f t="shared" si="3"/>
        <v>0</v>
      </c>
      <c r="AD211" s="38"/>
    </row>
    <row r="212" spans="1:30" ht="14.25" customHeight="1" thickBot="1" x14ac:dyDescent="0.3">
      <c r="A212" s="760"/>
      <c r="B212" s="1733"/>
      <c r="C212" s="1734"/>
      <c r="D212" s="1734"/>
      <c r="E212" s="1734"/>
      <c r="F212" s="1734"/>
      <c r="G212" s="1735"/>
      <c r="H212" s="1824"/>
      <c r="I212" s="1825"/>
      <c r="J212" s="1723"/>
      <c r="K212" s="1724"/>
      <c r="L212" s="1754"/>
      <c r="M212" s="1755"/>
      <c r="N212" s="1755"/>
      <c r="O212" s="1755"/>
      <c r="P212" s="1755"/>
      <c r="Q212" s="1756"/>
      <c r="R212" s="1757"/>
      <c r="S212" s="1758"/>
      <c r="T212" s="1826"/>
      <c r="U212" s="1823"/>
      <c r="V212" s="38"/>
      <c r="W212" s="42"/>
      <c r="X212" s="42"/>
      <c r="Y212" s="38"/>
      <c r="Z212" s="38"/>
      <c r="AA212" s="38"/>
      <c r="AB212" s="38"/>
      <c r="AC212" s="38">
        <f t="shared" si="3"/>
        <v>0</v>
      </c>
      <c r="AD212" s="38"/>
    </row>
    <row r="213" spans="1:30" ht="14.25" customHeight="1" thickBot="1" x14ac:dyDescent="0.3">
      <c r="A213" s="760"/>
      <c r="B213" s="1849" t="s">
        <v>260</v>
      </c>
      <c r="C213" s="1850"/>
      <c r="D213" s="1850"/>
      <c r="E213" s="1850"/>
      <c r="F213" s="1850"/>
      <c r="G213" s="1851"/>
      <c r="H213" s="1855" t="s">
        <v>107</v>
      </c>
      <c r="I213" s="1834"/>
      <c r="J213" s="1835"/>
      <c r="K213" s="1836"/>
      <c r="L213" s="1856"/>
      <c r="M213" s="1857"/>
      <c r="N213" s="1857"/>
      <c r="O213" s="1857"/>
      <c r="P213" s="1857"/>
      <c r="Q213" s="1827" t="s">
        <v>107</v>
      </c>
      <c r="R213" s="1757"/>
      <c r="S213" s="1758"/>
      <c r="T213" s="1842"/>
      <c r="U213" s="1823"/>
      <c r="V213" s="38">
        <f>IF(AND(Q213="ja",R213=""),1,0)</f>
        <v>0</v>
      </c>
      <c r="W213" s="40">
        <f>IF(H213="ja",Z213,0)</f>
        <v>0</v>
      </c>
      <c r="X213" s="40">
        <f>IF(H213="ja",AA213,0)</f>
        <v>0</v>
      </c>
      <c r="Y213" s="38" t="s">
        <v>261</v>
      </c>
      <c r="Z213" s="43">
        <v>2.5000000000000001E-3</v>
      </c>
      <c r="AA213" s="43">
        <v>1.5E-3</v>
      </c>
      <c r="AB213" s="38"/>
      <c r="AC213" s="38">
        <f t="shared" si="3"/>
        <v>0</v>
      </c>
      <c r="AD213" s="38"/>
    </row>
    <row r="214" spans="1:30" ht="14.25" customHeight="1" thickBot="1" x14ac:dyDescent="0.3">
      <c r="A214" s="760"/>
      <c r="B214" s="1798" t="s">
        <v>262</v>
      </c>
      <c r="C214" s="1799"/>
      <c r="D214" s="1799"/>
      <c r="E214" s="1799"/>
      <c r="F214" s="1799"/>
      <c r="G214" s="1843">
        <f>COUNTIF(H198:H213,"ja")</f>
        <v>0</v>
      </c>
      <c r="H214" s="1844"/>
      <c r="I214" s="1802"/>
      <c r="J214" s="1803"/>
      <c r="K214" s="1804"/>
      <c r="L214" s="1845">
        <f>SUM(R198:S213)</f>
        <v>0</v>
      </c>
      <c r="M214" s="1846"/>
      <c r="N214" s="1846"/>
      <c r="O214" s="1846"/>
      <c r="P214" s="1846"/>
      <c r="Q214" s="1807"/>
      <c r="R214" s="1808"/>
      <c r="S214" s="1809"/>
      <c r="T214" s="1810"/>
      <c r="U214" s="1811" t="s">
        <v>170</v>
      </c>
      <c r="V214" s="38"/>
      <c r="W214" s="41">
        <f>SUM(W198:W213)</f>
        <v>0</v>
      </c>
      <c r="X214" s="41">
        <f>SUM(X198:X213)</f>
        <v>0</v>
      </c>
      <c r="Y214" s="38"/>
      <c r="Z214" s="38"/>
      <c r="AA214" s="38"/>
      <c r="AB214" s="315">
        <f>IF(AND($B$129=$T$19,I197=""),1,0)</f>
        <v>0</v>
      </c>
      <c r="AC214" s="38">
        <f t="shared" si="3"/>
        <v>0</v>
      </c>
      <c r="AD214" s="38"/>
    </row>
    <row r="215" spans="1:30" ht="14.25" customHeight="1" thickBot="1" x14ac:dyDescent="0.3">
      <c r="A215" s="760"/>
      <c r="B215" s="1703" t="s">
        <v>263</v>
      </c>
      <c r="C215" s="1704"/>
      <c r="D215" s="1704"/>
      <c r="E215" s="1704"/>
      <c r="F215" s="1704"/>
      <c r="G215" s="1705"/>
      <c r="H215" s="1858" t="s">
        <v>107</v>
      </c>
      <c r="I215" s="1816">
        <f>IF(I52="Gebäude",W261,X261)</f>
        <v>0</v>
      </c>
      <c r="J215" s="1708">
        <f>I215*I129</f>
        <v>0</v>
      </c>
      <c r="K215" s="1709"/>
      <c r="L215" s="1817" t="s">
        <v>264</v>
      </c>
      <c r="M215" s="1818"/>
      <c r="N215" s="1818"/>
      <c r="O215" s="1818"/>
      <c r="P215" s="1818"/>
      <c r="Q215" s="1713" t="s">
        <v>107</v>
      </c>
      <c r="R215" s="1714"/>
      <c r="S215" s="1715"/>
      <c r="T215" s="1822" t="str">
        <f>IFERROR(IF((VLOOKUP(U215,Überblick!$M$124:$N$132,2))="ja","ja","nein"),"")</f>
        <v/>
      </c>
      <c r="U215" s="1823"/>
      <c r="V215" s="38">
        <f>IF(AND(Q215="ja",R215=""),1,0)</f>
        <v>0</v>
      </c>
      <c r="W215" s="40">
        <f>IF(H215="ja",Z215,0)</f>
        <v>0</v>
      </c>
      <c r="X215" s="40">
        <f>IF(H215="ja",AA215,0)</f>
        <v>0</v>
      </c>
      <c r="Y215" s="97" t="s">
        <v>203</v>
      </c>
      <c r="Z215" s="98">
        <v>0.18</v>
      </c>
      <c r="AA215" s="98">
        <v>0.18</v>
      </c>
      <c r="AB215" s="38"/>
      <c r="AC215" s="38">
        <f t="shared" si="3"/>
        <v>0</v>
      </c>
      <c r="AD215" s="38">
        <f>IF(AND(I215+SUM(V215:V261)&gt;0,U215=""),1,0)</f>
        <v>0</v>
      </c>
    </row>
    <row r="216" spans="1:30" ht="14.25" customHeight="1" thickBot="1" x14ac:dyDescent="0.3">
      <c r="A216" s="760"/>
      <c r="B216" s="1718"/>
      <c r="C216" s="1719"/>
      <c r="D216" s="1719"/>
      <c r="E216" s="1719"/>
      <c r="F216" s="1719"/>
      <c r="G216" s="1720"/>
      <c r="H216" s="1859"/>
      <c r="I216" s="1825"/>
      <c r="J216" s="1723"/>
      <c r="K216" s="1724"/>
      <c r="L216" s="1754"/>
      <c r="M216" s="1755"/>
      <c r="N216" s="1755"/>
      <c r="O216" s="1755"/>
      <c r="P216" s="1755"/>
      <c r="Q216" s="1728"/>
      <c r="R216" s="1729"/>
      <c r="S216" s="1730"/>
      <c r="T216" s="1826"/>
      <c r="U216" s="1823"/>
      <c r="V216" s="38"/>
      <c r="W216" s="38"/>
      <c r="X216" s="38"/>
      <c r="Y216" s="97"/>
      <c r="Z216" s="97"/>
      <c r="AA216" s="97"/>
      <c r="AB216" s="38"/>
      <c r="AC216" s="38">
        <f t="shared" si="3"/>
        <v>0</v>
      </c>
      <c r="AD216" s="38"/>
    </row>
    <row r="217" spans="1:30" ht="14.25" customHeight="1" thickBot="1" x14ac:dyDescent="0.3">
      <c r="A217" s="760"/>
      <c r="B217" s="1718"/>
      <c r="C217" s="1719"/>
      <c r="D217" s="1719"/>
      <c r="E217" s="1719"/>
      <c r="F217" s="1719"/>
      <c r="G217" s="1720"/>
      <c r="H217" s="1859"/>
      <c r="I217" s="1825"/>
      <c r="J217" s="1723"/>
      <c r="K217" s="1724"/>
      <c r="L217" s="1754"/>
      <c r="M217" s="1755"/>
      <c r="N217" s="1755"/>
      <c r="O217" s="1755"/>
      <c r="P217" s="1755"/>
      <c r="Q217" s="1728"/>
      <c r="R217" s="1729"/>
      <c r="S217" s="1730"/>
      <c r="T217" s="1826"/>
      <c r="U217" s="1823"/>
      <c r="V217" s="38"/>
      <c r="W217" s="38"/>
      <c r="X217" s="38"/>
      <c r="Y217" s="38"/>
      <c r="Z217" s="38"/>
      <c r="AA217" s="38"/>
      <c r="AB217" s="38"/>
      <c r="AC217" s="38">
        <f t="shared" si="3"/>
        <v>0</v>
      </c>
      <c r="AD217" s="38"/>
    </row>
    <row r="218" spans="1:30" ht="14.25" customHeight="1" thickBot="1" x14ac:dyDescent="0.3">
      <c r="A218" s="760"/>
      <c r="B218" s="1718"/>
      <c r="C218" s="1719"/>
      <c r="D218" s="1719"/>
      <c r="E218" s="1719"/>
      <c r="F218" s="1719"/>
      <c r="G218" s="1720"/>
      <c r="H218" s="1859"/>
      <c r="I218" s="1825"/>
      <c r="J218" s="1723"/>
      <c r="K218" s="1724"/>
      <c r="L218" s="1754"/>
      <c r="M218" s="1755"/>
      <c r="N218" s="1755"/>
      <c r="O218" s="1755"/>
      <c r="P218" s="1755"/>
      <c r="Q218" s="1728"/>
      <c r="R218" s="1729"/>
      <c r="S218" s="1730"/>
      <c r="T218" s="1826"/>
      <c r="U218" s="1823"/>
      <c r="V218" s="38"/>
      <c r="W218" s="38"/>
      <c r="X218" s="38"/>
      <c r="Y218" s="97"/>
      <c r="Z218" s="97"/>
      <c r="AA218" s="97"/>
      <c r="AB218" s="38"/>
      <c r="AC218" s="38">
        <f t="shared" si="3"/>
        <v>0</v>
      </c>
      <c r="AD218" s="38"/>
    </row>
    <row r="219" spans="1:30" ht="14.25" customHeight="1" thickBot="1" x14ac:dyDescent="0.3">
      <c r="A219" s="760"/>
      <c r="B219" s="1718"/>
      <c r="C219" s="1719"/>
      <c r="D219" s="1719"/>
      <c r="E219" s="1719"/>
      <c r="F219" s="1719"/>
      <c r="G219" s="1720"/>
      <c r="H219" s="1859"/>
      <c r="I219" s="1825"/>
      <c r="J219" s="1723"/>
      <c r="K219" s="1724"/>
      <c r="L219" s="1754"/>
      <c r="M219" s="1755"/>
      <c r="N219" s="1755"/>
      <c r="O219" s="1755"/>
      <c r="P219" s="1755"/>
      <c r="Q219" s="1728"/>
      <c r="R219" s="1729"/>
      <c r="S219" s="1730"/>
      <c r="T219" s="1826"/>
      <c r="U219" s="1823"/>
      <c r="V219" s="38"/>
      <c r="W219" s="38"/>
      <c r="X219" s="38"/>
      <c r="Y219" s="38"/>
      <c r="Z219" s="38"/>
      <c r="AA219" s="38"/>
      <c r="AB219" s="38"/>
      <c r="AC219" s="38">
        <f t="shared" si="3"/>
        <v>0</v>
      </c>
      <c r="AD219" s="38"/>
    </row>
    <row r="220" spans="1:30" ht="14.25" customHeight="1" thickBot="1" x14ac:dyDescent="0.3">
      <c r="A220" s="760"/>
      <c r="B220" s="1718"/>
      <c r="C220" s="1719"/>
      <c r="D220" s="1719"/>
      <c r="E220" s="1719"/>
      <c r="F220" s="1719"/>
      <c r="G220" s="1720"/>
      <c r="H220" s="1859"/>
      <c r="I220" s="1825"/>
      <c r="J220" s="1723"/>
      <c r="K220" s="1724"/>
      <c r="L220" s="1754"/>
      <c r="M220" s="1755"/>
      <c r="N220" s="1755"/>
      <c r="O220" s="1755"/>
      <c r="P220" s="1755"/>
      <c r="Q220" s="1728"/>
      <c r="R220" s="1729"/>
      <c r="S220" s="1730"/>
      <c r="T220" s="1826"/>
      <c r="U220" s="1823"/>
      <c r="V220" s="38"/>
      <c r="W220" s="38"/>
      <c r="X220" s="38"/>
      <c r="Y220" s="38"/>
      <c r="Z220" s="38"/>
      <c r="AA220" s="38"/>
      <c r="AB220" s="38"/>
      <c r="AC220" s="38">
        <f t="shared" si="3"/>
        <v>0</v>
      </c>
      <c r="AD220" s="38"/>
    </row>
    <row r="221" spans="1:30" ht="14.25" customHeight="1" thickBot="1" x14ac:dyDescent="0.3">
      <c r="A221" s="760"/>
      <c r="B221" s="1718"/>
      <c r="C221" s="1719"/>
      <c r="D221" s="1719"/>
      <c r="E221" s="1719"/>
      <c r="F221" s="1719"/>
      <c r="G221" s="1720"/>
      <c r="H221" s="1859"/>
      <c r="I221" s="1825"/>
      <c r="J221" s="1723"/>
      <c r="K221" s="1724"/>
      <c r="L221" s="1754"/>
      <c r="M221" s="1755"/>
      <c r="N221" s="1755"/>
      <c r="O221" s="1755"/>
      <c r="P221" s="1755"/>
      <c r="Q221" s="1728"/>
      <c r="R221" s="1729"/>
      <c r="S221" s="1730"/>
      <c r="T221" s="1826"/>
      <c r="U221" s="1823"/>
      <c r="V221" s="38"/>
      <c r="W221" s="38"/>
      <c r="X221" s="38"/>
      <c r="Y221" s="38"/>
      <c r="Z221" s="38"/>
      <c r="AA221" s="38"/>
      <c r="AB221" s="38"/>
      <c r="AC221" s="38">
        <f t="shared" si="3"/>
        <v>0</v>
      </c>
      <c r="AD221" s="38"/>
    </row>
    <row r="222" spans="1:30" ht="14.25" customHeight="1" thickBot="1" x14ac:dyDescent="0.3">
      <c r="A222" s="760"/>
      <c r="B222" s="1733"/>
      <c r="C222" s="1734"/>
      <c r="D222" s="1734"/>
      <c r="E222" s="1734"/>
      <c r="F222" s="1734"/>
      <c r="G222" s="1735"/>
      <c r="H222" s="1860"/>
      <c r="I222" s="1825"/>
      <c r="J222" s="1723"/>
      <c r="K222" s="1724"/>
      <c r="L222" s="1754"/>
      <c r="M222" s="1755"/>
      <c r="N222" s="1755"/>
      <c r="O222" s="1755"/>
      <c r="P222" s="1755"/>
      <c r="Q222" s="1728"/>
      <c r="R222" s="1729"/>
      <c r="S222" s="1730"/>
      <c r="T222" s="1826"/>
      <c r="U222" s="1823"/>
      <c r="V222" s="38"/>
      <c r="W222" s="38"/>
      <c r="X222" s="38"/>
      <c r="Y222" s="38"/>
      <c r="Z222" s="38"/>
      <c r="AA222" s="38"/>
      <c r="AB222" s="38"/>
      <c r="AC222" s="38">
        <f t="shared" si="3"/>
        <v>0</v>
      </c>
      <c r="AD222" s="38"/>
    </row>
    <row r="223" spans="1:30" ht="14.25" customHeight="1" thickBot="1" x14ac:dyDescent="0.3">
      <c r="A223" s="760"/>
      <c r="B223" s="1747" t="s">
        <v>265</v>
      </c>
      <c r="C223" s="1748"/>
      <c r="D223" s="1748"/>
      <c r="E223" s="1748"/>
      <c r="F223" s="1748"/>
      <c r="G223" s="1749"/>
      <c r="H223" s="1824" t="s">
        <v>107</v>
      </c>
      <c r="I223" s="1825"/>
      <c r="J223" s="1723"/>
      <c r="K223" s="1724"/>
      <c r="L223" s="1754"/>
      <c r="M223" s="1755"/>
      <c r="N223" s="1755"/>
      <c r="O223" s="1755"/>
      <c r="P223" s="1755"/>
      <c r="Q223" s="1742"/>
      <c r="R223" s="1743"/>
      <c r="S223" s="1744"/>
      <c r="T223" s="1826"/>
      <c r="U223" s="1823"/>
      <c r="V223" s="38"/>
      <c r="W223" s="40">
        <f>IF(H223="ja",Z223,0)</f>
        <v>0</v>
      </c>
      <c r="X223" s="40">
        <f>IF(H223="ja",AA223,0)</f>
        <v>0</v>
      </c>
      <c r="Y223" s="97" t="s">
        <v>177</v>
      </c>
      <c r="Z223" s="98">
        <v>1E-3</v>
      </c>
      <c r="AA223" s="98">
        <v>1E-3</v>
      </c>
      <c r="AB223" s="38"/>
      <c r="AC223" s="38">
        <f t="shared" si="3"/>
        <v>0</v>
      </c>
      <c r="AD223" s="38"/>
    </row>
    <row r="224" spans="1:30" ht="14.25" customHeight="1" thickBot="1" x14ac:dyDescent="0.3">
      <c r="A224" s="760"/>
      <c r="B224" s="1718"/>
      <c r="C224" s="1719"/>
      <c r="D224" s="1719"/>
      <c r="E224" s="1719"/>
      <c r="F224" s="1719"/>
      <c r="G224" s="1720"/>
      <c r="H224" s="1824"/>
      <c r="I224" s="1825"/>
      <c r="J224" s="1723"/>
      <c r="K224" s="1724"/>
      <c r="L224" s="1754" t="s">
        <v>266</v>
      </c>
      <c r="M224" s="1755"/>
      <c r="N224" s="1755"/>
      <c r="O224" s="1755"/>
      <c r="P224" s="1755"/>
      <c r="Q224" s="1756" t="s">
        <v>107</v>
      </c>
      <c r="R224" s="1757"/>
      <c r="S224" s="1758"/>
      <c r="T224" s="1826"/>
      <c r="U224" s="1823"/>
      <c r="V224" s="38">
        <f>IF(AND(Q224="ja",R224=""),1,0)</f>
        <v>0</v>
      </c>
      <c r="W224" s="38"/>
      <c r="X224" s="38"/>
      <c r="Y224" s="97"/>
      <c r="Z224" s="98"/>
      <c r="AA224" s="97"/>
      <c r="AB224" s="38"/>
      <c r="AC224" s="38">
        <f t="shared" si="3"/>
        <v>0</v>
      </c>
      <c r="AD224" s="38"/>
    </row>
    <row r="225" spans="1:30" ht="14.25" customHeight="1" thickBot="1" x14ac:dyDescent="0.3">
      <c r="A225" s="760"/>
      <c r="B225" s="1733"/>
      <c r="C225" s="1734"/>
      <c r="D225" s="1734"/>
      <c r="E225" s="1734"/>
      <c r="F225" s="1734"/>
      <c r="G225" s="1735"/>
      <c r="H225" s="1824"/>
      <c r="I225" s="1825"/>
      <c r="J225" s="1723"/>
      <c r="K225" s="1724"/>
      <c r="L225" s="1754"/>
      <c r="M225" s="1755"/>
      <c r="N225" s="1755"/>
      <c r="O225" s="1755"/>
      <c r="P225" s="1755"/>
      <c r="Q225" s="1756"/>
      <c r="R225" s="1757"/>
      <c r="S225" s="1758"/>
      <c r="T225" s="1826"/>
      <c r="U225" s="1823"/>
      <c r="V225" s="38"/>
      <c r="W225" s="38"/>
      <c r="X225" s="38"/>
      <c r="Y225" s="38"/>
      <c r="Z225" s="38"/>
      <c r="AA225" s="38"/>
      <c r="AB225" s="38"/>
      <c r="AC225" s="38">
        <f t="shared" si="3"/>
        <v>0</v>
      </c>
      <c r="AD225" s="38"/>
    </row>
    <row r="226" spans="1:30" ht="14.25" customHeight="1" thickBot="1" x14ac:dyDescent="0.3">
      <c r="A226" s="760"/>
      <c r="B226" s="1747" t="s">
        <v>267</v>
      </c>
      <c r="C226" s="1748"/>
      <c r="D226" s="1748"/>
      <c r="E226" s="1748"/>
      <c r="F226" s="1748"/>
      <c r="G226" s="1749"/>
      <c r="H226" s="1824" t="s">
        <v>107</v>
      </c>
      <c r="I226" s="1825"/>
      <c r="J226" s="1723"/>
      <c r="K226" s="1724"/>
      <c r="L226" s="1754"/>
      <c r="M226" s="1755"/>
      <c r="N226" s="1755"/>
      <c r="O226" s="1755"/>
      <c r="P226" s="1755"/>
      <c r="Q226" s="1756"/>
      <c r="R226" s="1757"/>
      <c r="S226" s="1758"/>
      <c r="T226" s="1826"/>
      <c r="U226" s="1823"/>
      <c r="V226" s="38"/>
      <c r="W226" s="40">
        <f>IF(H226="ja",Z226,0)</f>
        <v>0</v>
      </c>
      <c r="X226" s="40">
        <f>IF(H226="ja",AA226,0)</f>
        <v>0</v>
      </c>
      <c r="Y226" s="97" t="s">
        <v>208</v>
      </c>
      <c r="Z226" s="98">
        <v>1.4999999999999999E-2</v>
      </c>
      <c r="AA226" s="98">
        <v>1.2500000000000001E-2</v>
      </c>
      <c r="AB226" s="38"/>
      <c r="AC226" s="38">
        <f t="shared" si="3"/>
        <v>0</v>
      </c>
      <c r="AD226" s="38"/>
    </row>
    <row r="227" spans="1:30" ht="14.25" customHeight="1" thickBot="1" x14ac:dyDescent="0.3">
      <c r="A227" s="760"/>
      <c r="B227" s="1733"/>
      <c r="C227" s="1734"/>
      <c r="D227" s="1734"/>
      <c r="E227" s="1734"/>
      <c r="F227" s="1734"/>
      <c r="G227" s="1735"/>
      <c r="H227" s="1824"/>
      <c r="I227" s="1825"/>
      <c r="J227" s="1723"/>
      <c r="K227" s="1724"/>
      <c r="L227" s="1754" t="s">
        <v>268</v>
      </c>
      <c r="M227" s="1755"/>
      <c r="N227" s="1755"/>
      <c r="O227" s="1755"/>
      <c r="P227" s="1755"/>
      <c r="Q227" s="1756" t="s">
        <v>107</v>
      </c>
      <c r="R227" s="1757"/>
      <c r="S227" s="1758"/>
      <c r="T227" s="1826"/>
      <c r="U227" s="1823"/>
      <c r="V227" s="38">
        <f>IF(AND(Q227="ja",R227=""),1,0)</f>
        <v>0</v>
      </c>
      <c r="W227" s="38"/>
      <c r="X227" s="38"/>
      <c r="Y227" s="38"/>
      <c r="Z227" s="38"/>
      <c r="AA227" s="38"/>
      <c r="AB227" s="38"/>
      <c r="AC227" s="38">
        <f t="shared" si="3"/>
        <v>0</v>
      </c>
      <c r="AD227" s="38"/>
    </row>
    <row r="228" spans="1:30" ht="14.25" customHeight="1" thickBot="1" x14ac:dyDescent="0.3">
      <c r="A228" s="760"/>
      <c r="B228" s="1747" t="s">
        <v>269</v>
      </c>
      <c r="C228" s="1748"/>
      <c r="D228" s="1748"/>
      <c r="E228" s="1748"/>
      <c r="F228" s="1748"/>
      <c r="G228" s="1749"/>
      <c r="H228" s="1824" t="s">
        <v>107</v>
      </c>
      <c r="I228" s="1825"/>
      <c r="J228" s="1723"/>
      <c r="K228" s="1724"/>
      <c r="L228" s="1754"/>
      <c r="M228" s="1755"/>
      <c r="N228" s="1755"/>
      <c r="O228" s="1755"/>
      <c r="P228" s="1755"/>
      <c r="Q228" s="1756"/>
      <c r="R228" s="1757"/>
      <c r="S228" s="1758"/>
      <c r="T228" s="1826"/>
      <c r="U228" s="1823"/>
      <c r="V228" s="38"/>
      <c r="W228" s="40">
        <f>IF(H228="ja",Z228,0)</f>
        <v>0</v>
      </c>
      <c r="X228" s="40">
        <f>IF(H228="ja",AA228,0)</f>
        <v>0</v>
      </c>
      <c r="Y228" s="97" t="s">
        <v>181</v>
      </c>
      <c r="Z228" s="98">
        <v>1.6E-2</v>
      </c>
      <c r="AA228" s="98">
        <v>1.2500000000000001E-2</v>
      </c>
      <c r="AB228" s="38"/>
      <c r="AC228" s="38">
        <f t="shared" si="3"/>
        <v>0</v>
      </c>
      <c r="AD228" s="38"/>
    </row>
    <row r="229" spans="1:30" ht="14.25" customHeight="1" thickBot="1" x14ac:dyDescent="0.3">
      <c r="A229" s="760"/>
      <c r="B229" s="1733"/>
      <c r="C229" s="1734"/>
      <c r="D229" s="1734"/>
      <c r="E229" s="1734"/>
      <c r="F229" s="1734"/>
      <c r="G229" s="1735"/>
      <c r="H229" s="1824"/>
      <c r="I229" s="1825"/>
      <c r="J229" s="1723"/>
      <c r="K229" s="1724"/>
      <c r="L229" s="1754"/>
      <c r="M229" s="1755"/>
      <c r="N229" s="1755"/>
      <c r="O229" s="1755"/>
      <c r="P229" s="1755"/>
      <c r="Q229" s="1756"/>
      <c r="R229" s="1757"/>
      <c r="S229" s="1758"/>
      <c r="T229" s="1826"/>
      <c r="U229" s="1823"/>
      <c r="V229" s="38"/>
      <c r="W229" s="38"/>
      <c r="X229" s="38"/>
      <c r="Y229" s="38"/>
      <c r="Z229" s="38"/>
      <c r="AA229" s="38"/>
      <c r="AB229" s="38"/>
      <c r="AC229" s="38">
        <f t="shared" si="3"/>
        <v>0</v>
      </c>
      <c r="AD229" s="38"/>
    </row>
    <row r="230" spans="1:30" ht="13.6" customHeight="1" thickBot="1" x14ac:dyDescent="0.3">
      <c r="A230" s="760"/>
      <c r="B230" s="1747" t="s">
        <v>270</v>
      </c>
      <c r="C230" s="1748"/>
      <c r="D230" s="1748"/>
      <c r="E230" s="1748"/>
      <c r="F230" s="1748"/>
      <c r="G230" s="1749"/>
      <c r="H230" s="1828" t="s">
        <v>107</v>
      </c>
      <c r="I230" s="1825"/>
      <c r="J230" s="1723"/>
      <c r="K230" s="1724"/>
      <c r="L230" s="1754" t="s">
        <v>271</v>
      </c>
      <c r="M230" s="1755"/>
      <c r="N230" s="1755"/>
      <c r="O230" s="1755"/>
      <c r="P230" s="1755"/>
      <c r="Q230" s="1777" t="s">
        <v>107</v>
      </c>
      <c r="R230" s="1784"/>
      <c r="S230" s="1785"/>
      <c r="T230" s="1826"/>
      <c r="U230" s="1823"/>
      <c r="V230" s="38">
        <f>IF(AND(Q230="ja",R230=""),1,0)</f>
        <v>0</v>
      </c>
      <c r="W230" s="40">
        <f>IF(H230="ja",Z230,0)</f>
        <v>0</v>
      </c>
      <c r="X230" s="40">
        <f>IF(H230="ja",AA230,0)</f>
        <v>0</v>
      </c>
      <c r="Y230" s="97" t="s">
        <v>182</v>
      </c>
      <c r="Z230" s="98">
        <v>7.4999999999999997E-3</v>
      </c>
      <c r="AA230" s="98">
        <v>7.4999999999999997E-3</v>
      </c>
      <c r="AB230" s="38"/>
      <c r="AC230" s="38">
        <f t="shared" si="3"/>
        <v>0</v>
      </c>
      <c r="AD230" s="38"/>
    </row>
    <row r="231" spans="1:30" ht="13.6" customHeight="1" thickBot="1" x14ac:dyDescent="0.3">
      <c r="A231" s="760"/>
      <c r="B231" s="1718"/>
      <c r="C231" s="1719"/>
      <c r="D231" s="1719"/>
      <c r="E231" s="1719"/>
      <c r="F231" s="1719"/>
      <c r="G231" s="1720"/>
      <c r="H231" s="1859"/>
      <c r="I231" s="1825"/>
      <c r="J231" s="1723"/>
      <c r="K231" s="1724"/>
      <c r="L231" s="1754"/>
      <c r="M231" s="1755"/>
      <c r="N231" s="1755"/>
      <c r="O231" s="1755"/>
      <c r="P231" s="1755"/>
      <c r="Q231" s="1728"/>
      <c r="R231" s="1729"/>
      <c r="S231" s="1730"/>
      <c r="T231" s="1826"/>
      <c r="U231" s="1823"/>
      <c r="V231" s="38"/>
      <c r="W231" s="40"/>
      <c r="X231" s="40"/>
      <c r="Y231" s="97"/>
      <c r="Z231" s="98"/>
      <c r="AA231" s="98"/>
      <c r="AB231" s="38"/>
      <c r="AC231" s="38">
        <f t="shared" si="3"/>
        <v>0</v>
      </c>
      <c r="AD231" s="38"/>
    </row>
    <row r="232" spans="1:30" ht="13.6" customHeight="1" thickBot="1" x14ac:dyDescent="0.3">
      <c r="A232" s="760"/>
      <c r="B232" s="1733"/>
      <c r="C232" s="1734"/>
      <c r="D232" s="1734"/>
      <c r="E232" s="1734"/>
      <c r="F232" s="1734"/>
      <c r="G232" s="1735"/>
      <c r="H232" s="1860"/>
      <c r="I232" s="1825"/>
      <c r="J232" s="1723"/>
      <c r="K232" s="1724"/>
      <c r="L232" s="1754"/>
      <c r="M232" s="1755"/>
      <c r="N232" s="1755"/>
      <c r="O232" s="1755"/>
      <c r="P232" s="1755"/>
      <c r="Q232" s="1728"/>
      <c r="R232" s="1729"/>
      <c r="S232" s="1730"/>
      <c r="T232" s="1826"/>
      <c r="U232" s="1823"/>
      <c r="V232" s="38"/>
      <c r="W232" s="40"/>
      <c r="X232" s="40"/>
      <c r="Y232" s="97"/>
      <c r="Z232" s="98"/>
      <c r="AA232" s="98"/>
      <c r="AB232" s="38"/>
      <c r="AC232" s="38">
        <f t="shared" si="3"/>
        <v>0</v>
      </c>
      <c r="AD232" s="38"/>
    </row>
    <row r="233" spans="1:30" ht="15" customHeight="1" thickBot="1" x14ac:dyDescent="0.3">
      <c r="A233" s="760"/>
      <c r="B233" s="1747" t="s">
        <v>272</v>
      </c>
      <c r="C233" s="1748"/>
      <c r="D233" s="1748"/>
      <c r="E233" s="1748"/>
      <c r="F233" s="1748"/>
      <c r="G233" s="1749"/>
      <c r="H233" s="1824" t="s">
        <v>107</v>
      </c>
      <c r="I233" s="1825"/>
      <c r="J233" s="1723"/>
      <c r="K233" s="1724"/>
      <c r="L233" s="1754"/>
      <c r="M233" s="1755"/>
      <c r="N233" s="1755"/>
      <c r="O233" s="1755"/>
      <c r="P233" s="1755"/>
      <c r="Q233" s="1728"/>
      <c r="R233" s="1729"/>
      <c r="S233" s="1730"/>
      <c r="T233" s="1826"/>
      <c r="U233" s="1823"/>
      <c r="V233" s="38"/>
      <c r="W233" s="40">
        <f>IF(H233="ja",Z233,0)</f>
        <v>0</v>
      </c>
      <c r="X233" s="40">
        <f>IF(H233="ja",AA233,0)</f>
        <v>0</v>
      </c>
      <c r="Y233" s="97" t="s">
        <v>193</v>
      </c>
      <c r="Z233" s="98">
        <v>0.01</v>
      </c>
      <c r="AA233" s="98">
        <v>0.01</v>
      </c>
      <c r="AB233" s="38"/>
      <c r="AC233" s="38">
        <f t="shared" si="3"/>
        <v>0</v>
      </c>
      <c r="AD233" s="38"/>
    </row>
    <row r="234" spans="1:30" ht="15" customHeight="1" thickBot="1" x14ac:dyDescent="0.3">
      <c r="A234" s="760"/>
      <c r="B234" s="1733"/>
      <c r="C234" s="1734"/>
      <c r="D234" s="1734"/>
      <c r="E234" s="1734"/>
      <c r="F234" s="1734"/>
      <c r="G234" s="1735"/>
      <c r="H234" s="1824"/>
      <c r="I234" s="1825"/>
      <c r="J234" s="1723"/>
      <c r="K234" s="1724"/>
      <c r="L234" s="1754"/>
      <c r="M234" s="1755"/>
      <c r="N234" s="1755"/>
      <c r="O234" s="1755"/>
      <c r="P234" s="1755"/>
      <c r="Q234" s="1728"/>
      <c r="R234" s="1729"/>
      <c r="S234" s="1730"/>
      <c r="T234" s="1826"/>
      <c r="U234" s="1823"/>
      <c r="V234" s="38"/>
      <c r="W234" s="38"/>
      <c r="X234" s="38"/>
      <c r="Y234" s="38"/>
      <c r="Z234" s="38"/>
      <c r="AA234" s="38"/>
      <c r="AB234" s="38"/>
      <c r="AC234" s="38">
        <f t="shared" si="3"/>
        <v>0</v>
      </c>
      <c r="AD234" s="38"/>
    </row>
    <row r="235" spans="1:30" ht="14.25" customHeight="1" thickBot="1" x14ac:dyDescent="0.3">
      <c r="A235" s="760"/>
      <c r="B235" s="1747" t="s">
        <v>273</v>
      </c>
      <c r="C235" s="1748"/>
      <c r="D235" s="1748"/>
      <c r="E235" s="1748"/>
      <c r="F235" s="1748"/>
      <c r="G235" s="1749"/>
      <c r="H235" s="1828" t="s">
        <v>107</v>
      </c>
      <c r="I235" s="1825"/>
      <c r="J235" s="1723"/>
      <c r="K235" s="1724"/>
      <c r="L235" s="1754"/>
      <c r="M235" s="1755"/>
      <c r="N235" s="1755"/>
      <c r="O235" s="1755"/>
      <c r="P235" s="1755"/>
      <c r="Q235" s="1728"/>
      <c r="R235" s="1729"/>
      <c r="S235" s="1730"/>
      <c r="T235" s="1826"/>
      <c r="U235" s="1823"/>
      <c r="V235" s="38"/>
      <c r="W235" s="40">
        <f>IF(H235="ja",Z235,0)</f>
        <v>0</v>
      </c>
      <c r="X235" s="40">
        <f>IF(H235="ja",AA235,0)</f>
        <v>0</v>
      </c>
      <c r="Y235" s="97" t="s">
        <v>194</v>
      </c>
      <c r="Z235" s="98">
        <v>3.7499999999999999E-2</v>
      </c>
      <c r="AA235" s="98">
        <v>3.7499999999999999E-2</v>
      </c>
      <c r="AB235" s="38"/>
      <c r="AC235" s="38">
        <f t="shared" si="3"/>
        <v>0</v>
      </c>
      <c r="AD235" s="38"/>
    </row>
    <row r="236" spans="1:30" ht="14.25" customHeight="1" thickBot="1" x14ac:dyDescent="0.3">
      <c r="A236" s="760"/>
      <c r="B236" s="1718"/>
      <c r="C236" s="1719"/>
      <c r="D236" s="1719"/>
      <c r="E236" s="1719"/>
      <c r="F236" s="1719"/>
      <c r="G236" s="1720"/>
      <c r="H236" s="1859"/>
      <c r="I236" s="1825"/>
      <c r="J236" s="1723"/>
      <c r="K236" s="1724"/>
      <c r="L236" s="1754"/>
      <c r="M236" s="1755"/>
      <c r="N236" s="1755"/>
      <c r="O236" s="1755"/>
      <c r="P236" s="1755"/>
      <c r="Q236" s="1742"/>
      <c r="R236" s="1743"/>
      <c r="S236" s="1744"/>
      <c r="T236" s="1826"/>
      <c r="U236" s="1823"/>
      <c r="V236" s="38"/>
      <c r="W236" s="38"/>
      <c r="X236" s="38"/>
      <c r="Y236" s="38"/>
      <c r="Z236" s="38"/>
      <c r="AA236" s="38"/>
      <c r="AB236" s="38"/>
      <c r="AC236" s="38">
        <f t="shared" si="3"/>
        <v>0</v>
      </c>
      <c r="AD236" s="38"/>
    </row>
    <row r="237" spans="1:30" ht="14.25" customHeight="1" thickBot="1" x14ac:dyDescent="0.3">
      <c r="A237" s="760"/>
      <c r="B237" s="1733"/>
      <c r="C237" s="1734"/>
      <c r="D237" s="1734"/>
      <c r="E237" s="1734"/>
      <c r="F237" s="1734"/>
      <c r="G237" s="1735"/>
      <c r="H237" s="1860"/>
      <c r="I237" s="1825"/>
      <c r="J237" s="1723"/>
      <c r="K237" s="1724"/>
      <c r="L237" s="1754" t="s">
        <v>274</v>
      </c>
      <c r="M237" s="1755"/>
      <c r="N237" s="1755"/>
      <c r="O237" s="1755"/>
      <c r="P237" s="1755"/>
      <c r="Q237" s="1756" t="s">
        <v>107</v>
      </c>
      <c r="R237" s="1757"/>
      <c r="S237" s="1758"/>
      <c r="T237" s="1826"/>
      <c r="U237" s="1823"/>
      <c r="V237" s="38">
        <f>IF(AND(Q237="ja",R237=""),1,0)</f>
        <v>0</v>
      </c>
      <c r="W237" s="38"/>
      <c r="X237" s="38"/>
      <c r="Y237" s="38"/>
      <c r="Z237" s="38"/>
      <c r="AA237" s="38"/>
      <c r="AB237" s="38"/>
      <c r="AC237" s="38">
        <f t="shared" si="3"/>
        <v>0</v>
      </c>
      <c r="AD237" s="38"/>
    </row>
    <row r="238" spans="1:30" ht="14.25" customHeight="1" thickBot="1" x14ac:dyDescent="0.3">
      <c r="A238" s="760"/>
      <c r="B238" s="1747" t="s">
        <v>275</v>
      </c>
      <c r="C238" s="1748"/>
      <c r="D238" s="1748"/>
      <c r="E238" s="1748"/>
      <c r="F238" s="1748"/>
      <c r="G238" s="1749"/>
      <c r="H238" s="1824" t="s">
        <v>107</v>
      </c>
      <c r="I238" s="1825"/>
      <c r="J238" s="1723"/>
      <c r="K238" s="1724"/>
      <c r="L238" s="1754"/>
      <c r="M238" s="1755"/>
      <c r="N238" s="1755"/>
      <c r="O238" s="1755"/>
      <c r="P238" s="1755"/>
      <c r="Q238" s="1756"/>
      <c r="R238" s="1757"/>
      <c r="S238" s="1758"/>
      <c r="T238" s="1826"/>
      <c r="U238" s="1823"/>
      <c r="V238" s="38"/>
      <c r="W238" s="40">
        <f>IF(H238="ja",Z238,0)</f>
        <v>0</v>
      </c>
      <c r="X238" s="40">
        <f>IF(H238="ja",AA238,0)</f>
        <v>0</v>
      </c>
      <c r="Y238" s="97" t="s">
        <v>261</v>
      </c>
      <c r="Z238" s="98">
        <v>2.5000000000000001E-3</v>
      </c>
      <c r="AA238" s="98">
        <v>0.01</v>
      </c>
      <c r="AB238" s="38"/>
      <c r="AC238" s="38">
        <f t="shared" si="3"/>
        <v>0</v>
      </c>
      <c r="AD238" s="38"/>
    </row>
    <row r="239" spans="1:30" ht="14.25" customHeight="1" thickBot="1" x14ac:dyDescent="0.3">
      <c r="A239" s="760"/>
      <c r="B239" s="1733"/>
      <c r="C239" s="1734"/>
      <c r="D239" s="1734"/>
      <c r="E239" s="1734"/>
      <c r="F239" s="1734"/>
      <c r="G239" s="1735"/>
      <c r="H239" s="1824"/>
      <c r="I239" s="1825"/>
      <c r="J239" s="1723"/>
      <c r="K239" s="1724"/>
      <c r="L239" s="1754"/>
      <c r="M239" s="1755"/>
      <c r="N239" s="1755"/>
      <c r="O239" s="1755"/>
      <c r="P239" s="1755"/>
      <c r="Q239" s="1756"/>
      <c r="R239" s="1757"/>
      <c r="S239" s="1758"/>
      <c r="T239" s="1826"/>
      <c r="U239" s="1823"/>
      <c r="V239" s="38"/>
      <c r="W239" s="38"/>
      <c r="X239" s="38"/>
      <c r="Y239" s="97"/>
      <c r="Z239" s="97"/>
      <c r="AA239" s="97"/>
      <c r="AB239" s="38"/>
      <c r="AC239" s="38">
        <f t="shared" si="3"/>
        <v>0</v>
      </c>
      <c r="AD239" s="38"/>
    </row>
    <row r="240" spans="1:30" ht="14.25" customHeight="1" thickBot="1" x14ac:dyDescent="0.3">
      <c r="A240" s="760"/>
      <c r="B240" s="1747" t="s">
        <v>276</v>
      </c>
      <c r="C240" s="1748"/>
      <c r="D240" s="1748"/>
      <c r="E240" s="1748"/>
      <c r="F240" s="1748"/>
      <c r="G240" s="1749"/>
      <c r="H240" s="1824" t="s">
        <v>107</v>
      </c>
      <c r="I240" s="1825"/>
      <c r="J240" s="1723"/>
      <c r="K240" s="1724"/>
      <c r="L240" s="1754" t="s">
        <v>277</v>
      </c>
      <c r="M240" s="1755"/>
      <c r="N240" s="1755"/>
      <c r="O240" s="1755"/>
      <c r="P240" s="1755"/>
      <c r="Q240" s="1756" t="s">
        <v>107</v>
      </c>
      <c r="R240" s="1757"/>
      <c r="S240" s="1758"/>
      <c r="T240" s="1826"/>
      <c r="U240" s="1823"/>
      <c r="V240" s="38">
        <f>IF(AND(Q240="ja",R240=""),1,0)</f>
        <v>0</v>
      </c>
      <c r="W240" s="40">
        <f>IF(H240="ja",Z240,0)</f>
        <v>0</v>
      </c>
      <c r="X240" s="40">
        <f>IF(H240="ja",AA240,0)</f>
        <v>0</v>
      </c>
      <c r="Y240" s="97" t="s">
        <v>198</v>
      </c>
      <c r="Z240" s="98">
        <v>8.5000000000000006E-3</v>
      </c>
      <c r="AA240" s="98">
        <v>7.0000000000000001E-3</v>
      </c>
      <c r="AB240" s="38"/>
      <c r="AC240" s="38">
        <f t="shared" si="3"/>
        <v>0</v>
      </c>
      <c r="AD240" s="38"/>
    </row>
    <row r="241" spans="1:30" ht="14.25" customHeight="1" thickBot="1" x14ac:dyDescent="0.3">
      <c r="A241" s="760"/>
      <c r="B241" s="1718"/>
      <c r="C241" s="1719"/>
      <c r="D241" s="1719"/>
      <c r="E241" s="1719"/>
      <c r="F241" s="1719"/>
      <c r="G241" s="1720"/>
      <c r="H241" s="1824"/>
      <c r="I241" s="1825"/>
      <c r="J241" s="1723"/>
      <c r="K241" s="1724"/>
      <c r="L241" s="1754"/>
      <c r="M241" s="1755"/>
      <c r="N241" s="1755"/>
      <c r="O241" s="1755"/>
      <c r="P241" s="1755"/>
      <c r="Q241" s="1756"/>
      <c r="R241" s="1757"/>
      <c r="S241" s="1758"/>
      <c r="T241" s="1826"/>
      <c r="U241" s="1823"/>
      <c r="V241" s="38"/>
      <c r="W241" s="40"/>
      <c r="X241" s="40"/>
      <c r="Y241" s="97"/>
      <c r="Z241" s="98"/>
      <c r="AA241" s="98"/>
      <c r="AB241" s="38"/>
      <c r="AC241" s="38">
        <f t="shared" si="3"/>
        <v>0</v>
      </c>
      <c r="AD241" s="38"/>
    </row>
    <row r="242" spans="1:30" ht="14.25" customHeight="1" thickBot="1" x14ac:dyDescent="0.3">
      <c r="A242" s="760"/>
      <c r="B242" s="1718"/>
      <c r="C242" s="1719"/>
      <c r="D242" s="1719"/>
      <c r="E242" s="1719"/>
      <c r="F242" s="1719"/>
      <c r="G242" s="1720"/>
      <c r="H242" s="1824"/>
      <c r="I242" s="1825"/>
      <c r="J242" s="1723"/>
      <c r="K242" s="1724"/>
      <c r="L242" s="1754"/>
      <c r="M242" s="1755"/>
      <c r="N242" s="1755"/>
      <c r="O242" s="1755"/>
      <c r="P242" s="1755"/>
      <c r="Q242" s="1756"/>
      <c r="R242" s="1757"/>
      <c r="S242" s="1758"/>
      <c r="T242" s="1826"/>
      <c r="U242" s="1823"/>
      <c r="V242" s="38"/>
      <c r="W242" s="40"/>
      <c r="X242" s="40"/>
      <c r="Y242" s="97"/>
      <c r="Z242" s="98"/>
      <c r="AA242" s="98"/>
      <c r="AB242" s="38"/>
      <c r="AC242" s="38">
        <f t="shared" si="3"/>
        <v>0</v>
      </c>
      <c r="AD242" s="38"/>
    </row>
    <row r="243" spans="1:30" ht="14.25" customHeight="1" thickBot="1" x14ac:dyDescent="0.3">
      <c r="A243" s="760"/>
      <c r="B243" s="1718"/>
      <c r="C243" s="1719"/>
      <c r="D243" s="1719"/>
      <c r="E243" s="1719"/>
      <c r="F243" s="1719"/>
      <c r="G243" s="1720"/>
      <c r="H243" s="1824"/>
      <c r="I243" s="1825"/>
      <c r="J243" s="1723"/>
      <c r="K243" s="1724"/>
      <c r="L243" s="1754"/>
      <c r="M243" s="1755"/>
      <c r="N243" s="1755"/>
      <c r="O243" s="1755"/>
      <c r="P243" s="1755"/>
      <c r="Q243" s="1756"/>
      <c r="R243" s="1757"/>
      <c r="S243" s="1758"/>
      <c r="T243" s="1826"/>
      <c r="U243" s="1823"/>
      <c r="V243" s="38"/>
      <c r="W243" s="38"/>
      <c r="X243" s="38"/>
      <c r="Y243" s="97"/>
      <c r="Z243" s="98"/>
      <c r="AA243" s="97"/>
      <c r="AB243" s="38"/>
      <c r="AC243" s="38">
        <f t="shared" si="3"/>
        <v>0</v>
      </c>
      <c r="AD243" s="38"/>
    </row>
    <row r="244" spans="1:30" ht="14.25" customHeight="1" thickBot="1" x14ac:dyDescent="0.3">
      <c r="A244" s="760"/>
      <c r="B244" s="1733"/>
      <c r="C244" s="1734"/>
      <c r="D244" s="1734"/>
      <c r="E244" s="1734"/>
      <c r="F244" s="1734"/>
      <c r="G244" s="1735"/>
      <c r="H244" s="1824"/>
      <c r="I244" s="1825"/>
      <c r="J244" s="1723"/>
      <c r="K244" s="1724"/>
      <c r="L244" s="1754"/>
      <c r="M244" s="1755"/>
      <c r="N244" s="1755"/>
      <c r="O244" s="1755"/>
      <c r="P244" s="1755"/>
      <c r="Q244" s="1756"/>
      <c r="R244" s="1757"/>
      <c r="S244" s="1758"/>
      <c r="T244" s="1826"/>
      <c r="U244" s="1823"/>
      <c r="V244" s="38"/>
      <c r="W244" s="38"/>
      <c r="X244" s="38"/>
      <c r="Y244" s="38"/>
      <c r="Z244" s="38"/>
      <c r="AA244" s="38"/>
      <c r="AB244" s="38"/>
      <c r="AC244" s="38">
        <f t="shared" si="3"/>
        <v>0</v>
      </c>
      <c r="AD244" s="38"/>
    </row>
    <row r="245" spans="1:30" ht="14.25" customHeight="1" thickBot="1" x14ac:dyDescent="0.3">
      <c r="A245" s="760"/>
      <c r="B245" s="1849" t="s">
        <v>278</v>
      </c>
      <c r="C245" s="1850"/>
      <c r="D245" s="1850"/>
      <c r="E245" s="1850"/>
      <c r="F245" s="1850"/>
      <c r="G245" s="1851"/>
      <c r="H245" s="1852" t="s">
        <v>107</v>
      </c>
      <c r="I245" s="1825"/>
      <c r="J245" s="1723"/>
      <c r="K245" s="1724"/>
      <c r="L245" s="1754"/>
      <c r="M245" s="1755"/>
      <c r="N245" s="1755"/>
      <c r="O245" s="1755"/>
      <c r="P245" s="1755"/>
      <c r="Q245" s="1756" t="s">
        <v>107</v>
      </c>
      <c r="R245" s="1757"/>
      <c r="S245" s="1758"/>
      <c r="T245" s="1826"/>
      <c r="U245" s="1823"/>
      <c r="V245" s="38">
        <f>IF(AND(Q245="ja",R245=""),1,0)</f>
        <v>0</v>
      </c>
      <c r="W245" s="40">
        <f>IF(H245="ja",Z245,0)</f>
        <v>0</v>
      </c>
      <c r="X245" s="40">
        <f>IF(H245="ja",AA245,0)</f>
        <v>0</v>
      </c>
      <c r="Y245" s="97" t="s">
        <v>279</v>
      </c>
      <c r="Z245" s="98">
        <v>0.01</v>
      </c>
      <c r="AA245" s="98">
        <v>0.01</v>
      </c>
      <c r="AB245" s="38"/>
      <c r="AC245" s="38">
        <f t="shared" si="3"/>
        <v>0</v>
      </c>
      <c r="AD245" s="38"/>
    </row>
    <row r="246" spans="1:30" ht="14.25" customHeight="1" thickBot="1" x14ac:dyDescent="0.3">
      <c r="A246" s="760"/>
      <c r="B246" s="1747" t="s">
        <v>280</v>
      </c>
      <c r="C246" s="1748"/>
      <c r="D246" s="1748"/>
      <c r="E246" s="1748"/>
      <c r="F246" s="1748"/>
      <c r="G246" s="1749"/>
      <c r="H246" s="1824" t="s">
        <v>107</v>
      </c>
      <c r="I246" s="1825"/>
      <c r="J246" s="1723"/>
      <c r="K246" s="1724"/>
      <c r="L246" s="1754"/>
      <c r="M246" s="1755"/>
      <c r="N246" s="1755"/>
      <c r="O246" s="1755"/>
      <c r="P246" s="1755"/>
      <c r="Q246" s="1756"/>
      <c r="R246" s="1757"/>
      <c r="S246" s="1758"/>
      <c r="T246" s="1826"/>
      <c r="U246" s="1823"/>
      <c r="V246" s="38"/>
      <c r="W246" s="40">
        <f>IF(H246="ja",Z246,0)</f>
        <v>0</v>
      </c>
      <c r="X246" s="40">
        <f>IF(H246="ja",AA246,0)</f>
        <v>0</v>
      </c>
      <c r="Y246" s="97" t="s">
        <v>281</v>
      </c>
      <c r="Z246" s="98">
        <v>1.4999999999999999E-2</v>
      </c>
      <c r="AA246" s="98">
        <v>1.4999999999999999E-2</v>
      </c>
      <c r="AB246" s="38"/>
      <c r="AC246" s="38">
        <f t="shared" si="3"/>
        <v>0</v>
      </c>
      <c r="AD246" s="38"/>
    </row>
    <row r="247" spans="1:30" ht="14.25" customHeight="1" thickBot="1" x14ac:dyDescent="0.3">
      <c r="A247" s="760"/>
      <c r="B247" s="1718"/>
      <c r="C247" s="1719"/>
      <c r="D247" s="1719"/>
      <c r="E247" s="1719"/>
      <c r="F247" s="1719"/>
      <c r="G247" s="1720"/>
      <c r="H247" s="1824"/>
      <c r="I247" s="1825"/>
      <c r="J247" s="1723"/>
      <c r="K247" s="1724"/>
      <c r="L247" s="1754"/>
      <c r="M247" s="1755"/>
      <c r="N247" s="1755"/>
      <c r="O247" s="1755"/>
      <c r="P247" s="1755"/>
      <c r="Q247" s="1756"/>
      <c r="R247" s="1757"/>
      <c r="S247" s="1758"/>
      <c r="T247" s="1826"/>
      <c r="U247" s="1823"/>
      <c r="V247" s="38"/>
      <c r="W247" s="38"/>
      <c r="X247" s="38"/>
      <c r="Y247" s="97"/>
      <c r="Z247" s="98"/>
      <c r="AA247" s="98"/>
      <c r="AB247" s="38"/>
      <c r="AC247" s="38">
        <f t="shared" si="3"/>
        <v>0</v>
      </c>
      <c r="AD247" s="38"/>
    </row>
    <row r="248" spans="1:30" ht="14.25" customHeight="1" thickBot="1" x14ac:dyDescent="0.3">
      <c r="A248" s="760"/>
      <c r="B248" s="1718"/>
      <c r="C248" s="1719"/>
      <c r="D248" s="1719"/>
      <c r="E248" s="1719"/>
      <c r="F248" s="1719"/>
      <c r="G248" s="1720"/>
      <c r="H248" s="1824"/>
      <c r="I248" s="1825"/>
      <c r="J248" s="1723"/>
      <c r="K248" s="1724"/>
      <c r="L248" s="1754"/>
      <c r="M248" s="1755"/>
      <c r="N248" s="1755"/>
      <c r="O248" s="1755"/>
      <c r="P248" s="1755"/>
      <c r="Q248" s="1756" t="s">
        <v>107</v>
      </c>
      <c r="R248" s="1757"/>
      <c r="S248" s="1758"/>
      <c r="T248" s="1826"/>
      <c r="U248" s="1823"/>
      <c r="V248" s="38">
        <f>IF(AND(Q248="ja",R248=""),1,0)</f>
        <v>0</v>
      </c>
      <c r="W248" s="38"/>
      <c r="X248" s="38"/>
      <c r="Y248" s="38"/>
      <c r="Z248" s="38"/>
      <c r="AA248" s="38"/>
      <c r="AB248" s="38"/>
      <c r="AC248" s="38">
        <f t="shared" si="3"/>
        <v>0</v>
      </c>
      <c r="AD248" s="38"/>
    </row>
    <row r="249" spans="1:30" ht="14.25" customHeight="1" thickBot="1" x14ac:dyDescent="0.3">
      <c r="A249" s="760"/>
      <c r="B249" s="1733"/>
      <c r="C249" s="1734"/>
      <c r="D249" s="1734"/>
      <c r="E249" s="1734"/>
      <c r="F249" s="1734"/>
      <c r="G249" s="1735"/>
      <c r="H249" s="1824"/>
      <c r="I249" s="1825"/>
      <c r="J249" s="1723"/>
      <c r="K249" s="1724"/>
      <c r="L249" s="1754"/>
      <c r="M249" s="1755"/>
      <c r="N249" s="1755"/>
      <c r="O249" s="1755"/>
      <c r="P249" s="1755"/>
      <c r="Q249" s="1756"/>
      <c r="R249" s="1757"/>
      <c r="S249" s="1758"/>
      <c r="T249" s="1826"/>
      <c r="U249" s="1823"/>
      <c r="V249" s="38"/>
      <c r="W249" s="38"/>
      <c r="X249" s="38"/>
      <c r="Y249" s="38"/>
      <c r="Z249" s="38"/>
      <c r="AA249" s="38"/>
      <c r="AB249" s="38"/>
      <c r="AC249" s="38">
        <f t="shared" si="3"/>
        <v>0</v>
      </c>
      <c r="AD249" s="38"/>
    </row>
    <row r="250" spans="1:30" ht="14.25" customHeight="1" thickBot="1" x14ac:dyDescent="0.3">
      <c r="A250" s="760"/>
      <c r="B250" s="1747" t="s">
        <v>282</v>
      </c>
      <c r="C250" s="1748"/>
      <c r="D250" s="1748"/>
      <c r="E250" s="1748"/>
      <c r="F250" s="1748"/>
      <c r="G250" s="1749"/>
      <c r="H250" s="1824" t="s">
        <v>107</v>
      </c>
      <c r="I250" s="1825"/>
      <c r="J250" s="1723"/>
      <c r="K250" s="1724"/>
      <c r="L250" s="1754"/>
      <c r="M250" s="1755"/>
      <c r="N250" s="1755"/>
      <c r="O250" s="1755"/>
      <c r="P250" s="1755"/>
      <c r="Q250" s="1756"/>
      <c r="R250" s="1757"/>
      <c r="S250" s="1758"/>
      <c r="T250" s="1826"/>
      <c r="U250" s="1823"/>
      <c r="V250" s="38"/>
      <c r="W250" s="40">
        <f>IF(H250="ja",Z250,0)</f>
        <v>0</v>
      </c>
      <c r="X250" s="40">
        <f>IF(H250="ja",AA250,0)</f>
        <v>0</v>
      </c>
      <c r="Y250" s="97" t="s">
        <v>283</v>
      </c>
      <c r="Z250" s="98">
        <v>1E-3</v>
      </c>
      <c r="AA250" s="98">
        <v>1E-3</v>
      </c>
      <c r="AB250" s="38"/>
      <c r="AC250" s="38">
        <f t="shared" si="3"/>
        <v>0</v>
      </c>
      <c r="AD250" s="38"/>
    </row>
    <row r="251" spans="1:30" ht="14.25" customHeight="1" thickBot="1" x14ac:dyDescent="0.3">
      <c r="A251" s="760"/>
      <c r="B251" s="1733"/>
      <c r="C251" s="1734"/>
      <c r="D251" s="1734"/>
      <c r="E251" s="1734"/>
      <c r="F251" s="1734"/>
      <c r="G251" s="1735"/>
      <c r="H251" s="1824"/>
      <c r="I251" s="1825"/>
      <c r="J251" s="1723"/>
      <c r="K251" s="1724"/>
      <c r="L251" s="1754" t="s">
        <v>284</v>
      </c>
      <c r="M251" s="1755"/>
      <c r="N251" s="1755"/>
      <c r="O251" s="1755"/>
      <c r="P251" s="1755"/>
      <c r="Q251" s="1756" t="s">
        <v>107</v>
      </c>
      <c r="R251" s="1757"/>
      <c r="S251" s="1758"/>
      <c r="T251" s="1826"/>
      <c r="U251" s="1823"/>
      <c r="V251" s="38">
        <f>IF(AND(Q251="ja",R251=""),1,0)</f>
        <v>0</v>
      </c>
      <c r="W251" s="38"/>
      <c r="X251" s="38"/>
      <c r="Y251" s="97"/>
      <c r="Z251" s="97"/>
      <c r="AA251" s="98"/>
      <c r="AB251" s="38"/>
      <c r="AC251" s="38">
        <f t="shared" si="3"/>
        <v>0</v>
      </c>
      <c r="AD251" s="38"/>
    </row>
    <row r="252" spans="1:30" ht="14.25" customHeight="1" thickBot="1" x14ac:dyDescent="0.3">
      <c r="A252" s="760"/>
      <c r="B252" s="1747" t="s">
        <v>285</v>
      </c>
      <c r="C252" s="1748"/>
      <c r="D252" s="1748"/>
      <c r="E252" s="1748"/>
      <c r="F252" s="1748"/>
      <c r="G252" s="1749"/>
      <c r="H252" s="1828" t="s">
        <v>107</v>
      </c>
      <c r="I252" s="1825"/>
      <c r="J252" s="1723"/>
      <c r="K252" s="1724"/>
      <c r="L252" s="1754"/>
      <c r="M252" s="1755"/>
      <c r="N252" s="1755"/>
      <c r="O252" s="1755"/>
      <c r="P252" s="1755"/>
      <c r="Q252" s="1756"/>
      <c r="R252" s="1757"/>
      <c r="S252" s="1758"/>
      <c r="T252" s="1826"/>
      <c r="U252" s="1823"/>
      <c r="V252" s="38"/>
      <c r="W252" s="40">
        <f>IF(H252="ja",Z252,0)</f>
        <v>0</v>
      </c>
      <c r="X252" s="40">
        <f>IF(H252="ja",AA252,0)</f>
        <v>0</v>
      </c>
      <c r="Y252" s="97" t="s">
        <v>286</v>
      </c>
      <c r="Z252" s="98">
        <v>2.5000000000000001E-3</v>
      </c>
      <c r="AA252" s="98">
        <v>2.5000000000000001E-3</v>
      </c>
      <c r="AB252" s="38"/>
      <c r="AC252" s="38">
        <f t="shared" si="3"/>
        <v>0</v>
      </c>
      <c r="AD252" s="38"/>
    </row>
    <row r="253" spans="1:30" ht="14.25" customHeight="1" thickBot="1" x14ac:dyDescent="0.3">
      <c r="A253" s="760"/>
      <c r="B253" s="1718"/>
      <c r="C253" s="1719"/>
      <c r="D253" s="1719"/>
      <c r="E253" s="1719"/>
      <c r="F253" s="1719"/>
      <c r="G253" s="1720"/>
      <c r="H253" s="1859"/>
      <c r="I253" s="1825"/>
      <c r="J253" s="1723"/>
      <c r="K253" s="1724"/>
      <c r="L253" s="1754"/>
      <c r="M253" s="1755"/>
      <c r="N253" s="1755"/>
      <c r="O253" s="1755"/>
      <c r="P253" s="1755"/>
      <c r="Q253" s="1756"/>
      <c r="R253" s="1757"/>
      <c r="S253" s="1758"/>
      <c r="T253" s="1826"/>
      <c r="U253" s="1823"/>
      <c r="V253" s="38"/>
      <c r="W253" s="40"/>
      <c r="X253" s="40"/>
      <c r="Y253" s="97"/>
      <c r="Z253" s="98"/>
      <c r="AA253" s="98"/>
      <c r="AB253" s="38"/>
      <c r="AC253" s="38">
        <f t="shared" si="3"/>
        <v>0</v>
      </c>
      <c r="AD253" s="38"/>
    </row>
    <row r="254" spans="1:30" ht="14.25" customHeight="1" thickBot="1" x14ac:dyDescent="0.3">
      <c r="A254" s="760"/>
      <c r="B254" s="1718"/>
      <c r="C254" s="1719"/>
      <c r="D254" s="1719"/>
      <c r="E254" s="1719"/>
      <c r="F254" s="1719"/>
      <c r="G254" s="1720"/>
      <c r="H254" s="1859"/>
      <c r="I254" s="1825"/>
      <c r="J254" s="1723"/>
      <c r="K254" s="1724"/>
      <c r="L254" s="1754"/>
      <c r="M254" s="1755"/>
      <c r="N254" s="1755"/>
      <c r="O254" s="1755"/>
      <c r="P254" s="1755"/>
      <c r="Q254" s="1756"/>
      <c r="R254" s="1757"/>
      <c r="S254" s="1758"/>
      <c r="T254" s="1826"/>
      <c r="U254" s="1823"/>
      <c r="V254" s="38"/>
      <c r="W254" s="40"/>
      <c r="X254" s="40"/>
      <c r="Y254" s="97"/>
      <c r="Z254" s="98"/>
      <c r="AA254" s="98"/>
      <c r="AB254" s="38"/>
      <c r="AC254" s="38">
        <f t="shared" ref="AC254:AC271" si="4">IF(Q254="ja",1,0)</f>
        <v>0</v>
      </c>
      <c r="AD254" s="38"/>
    </row>
    <row r="255" spans="1:30" ht="14.25" customHeight="1" thickBot="1" x14ac:dyDescent="0.3">
      <c r="A255" s="760"/>
      <c r="B255" s="1718"/>
      <c r="C255" s="1719"/>
      <c r="D255" s="1719"/>
      <c r="E255" s="1719"/>
      <c r="F255" s="1719"/>
      <c r="G255" s="1720"/>
      <c r="H255" s="1859"/>
      <c r="I255" s="1825"/>
      <c r="J255" s="1723"/>
      <c r="K255" s="1724"/>
      <c r="L255" s="1754"/>
      <c r="M255" s="1755"/>
      <c r="N255" s="1755"/>
      <c r="O255" s="1755"/>
      <c r="P255" s="1755"/>
      <c r="Q255" s="1756"/>
      <c r="R255" s="1757"/>
      <c r="S255" s="1758"/>
      <c r="T255" s="1826"/>
      <c r="U255" s="1823"/>
      <c r="V255" s="38"/>
      <c r="W255" s="38"/>
      <c r="X255" s="38"/>
      <c r="Y255" s="97"/>
      <c r="Z255" s="97"/>
      <c r="AA255" s="97"/>
      <c r="AB255" s="38"/>
      <c r="AC255" s="38">
        <f t="shared" si="4"/>
        <v>0</v>
      </c>
      <c r="AD255" s="38"/>
    </row>
    <row r="256" spans="1:30" ht="14.25" customHeight="1" thickBot="1" x14ac:dyDescent="0.3">
      <c r="A256" s="760"/>
      <c r="B256" s="1718"/>
      <c r="C256" s="1719"/>
      <c r="D256" s="1719"/>
      <c r="E256" s="1719"/>
      <c r="F256" s="1719"/>
      <c r="G256" s="1720"/>
      <c r="H256" s="1859"/>
      <c r="I256" s="1825"/>
      <c r="J256" s="1723"/>
      <c r="K256" s="1724"/>
      <c r="L256" s="1754"/>
      <c r="M256" s="1755"/>
      <c r="N256" s="1755"/>
      <c r="O256" s="1755"/>
      <c r="P256" s="1755"/>
      <c r="Q256" s="1756" t="s">
        <v>107</v>
      </c>
      <c r="R256" s="1757"/>
      <c r="S256" s="1758"/>
      <c r="T256" s="1826"/>
      <c r="U256" s="1823"/>
      <c r="V256" s="38">
        <f>IF(AND(Q256="ja",R256=""),1,0)</f>
        <v>0</v>
      </c>
      <c r="W256" s="38"/>
      <c r="X256" s="38"/>
      <c r="Y256" s="38"/>
      <c r="Z256" s="38"/>
      <c r="AA256" s="38"/>
      <c r="AB256" s="38"/>
      <c r="AC256" s="38">
        <f t="shared" si="4"/>
        <v>0</v>
      </c>
      <c r="AD256" s="38"/>
    </row>
    <row r="257" spans="1:30" ht="14.25" customHeight="1" thickBot="1" x14ac:dyDescent="0.3">
      <c r="A257" s="760"/>
      <c r="B257" s="1733"/>
      <c r="C257" s="1734"/>
      <c r="D257" s="1734"/>
      <c r="E257" s="1734"/>
      <c r="F257" s="1734"/>
      <c r="G257" s="1735"/>
      <c r="H257" s="1860"/>
      <c r="I257" s="1825"/>
      <c r="J257" s="1723"/>
      <c r="K257" s="1724"/>
      <c r="L257" s="1754"/>
      <c r="M257" s="1755"/>
      <c r="N257" s="1755"/>
      <c r="O257" s="1755"/>
      <c r="P257" s="1755"/>
      <c r="Q257" s="1756"/>
      <c r="R257" s="1757"/>
      <c r="S257" s="1758"/>
      <c r="T257" s="1826"/>
      <c r="U257" s="1823"/>
      <c r="V257" s="38"/>
      <c r="W257" s="38"/>
      <c r="X257" s="38"/>
      <c r="Y257" s="38"/>
      <c r="Z257" s="38"/>
      <c r="AA257" s="38"/>
      <c r="AB257" s="38"/>
      <c r="AC257" s="38">
        <f t="shared" si="4"/>
        <v>0</v>
      </c>
      <c r="AD257" s="38"/>
    </row>
    <row r="258" spans="1:30" ht="14.25" customHeight="1" thickBot="1" x14ac:dyDescent="0.3">
      <c r="A258" s="760"/>
      <c r="B258" s="1849" t="s">
        <v>287</v>
      </c>
      <c r="C258" s="1850"/>
      <c r="D258" s="1850"/>
      <c r="E258" s="1850"/>
      <c r="F258" s="1850"/>
      <c r="G258" s="1851"/>
      <c r="H258" s="1852" t="s">
        <v>107</v>
      </c>
      <c r="I258" s="1825"/>
      <c r="J258" s="1723"/>
      <c r="K258" s="1724"/>
      <c r="L258" s="1754"/>
      <c r="M258" s="1755"/>
      <c r="N258" s="1755"/>
      <c r="O258" s="1755"/>
      <c r="P258" s="1755"/>
      <c r="Q258" s="1756"/>
      <c r="R258" s="1757"/>
      <c r="S258" s="1758"/>
      <c r="T258" s="1826"/>
      <c r="U258" s="1823"/>
      <c r="V258" s="38"/>
      <c r="W258" s="40">
        <f>IF(H258="ja",Z258,0)</f>
        <v>0</v>
      </c>
      <c r="X258" s="40">
        <f>IF(H258="ja",AA258,0)</f>
        <v>0</v>
      </c>
      <c r="Y258" s="97" t="s">
        <v>288</v>
      </c>
      <c r="Z258" s="98">
        <v>2.5000000000000001E-3</v>
      </c>
      <c r="AA258" s="98">
        <v>2.5000000000000001E-3</v>
      </c>
      <c r="AB258" s="38"/>
      <c r="AC258" s="38">
        <f t="shared" si="4"/>
        <v>0</v>
      </c>
      <c r="AD258" s="38"/>
    </row>
    <row r="259" spans="1:30" ht="14.25" customHeight="1" thickBot="1" x14ac:dyDescent="0.3">
      <c r="A259" s="760"/>
      <c r="B259" s="1849" t="s">
        <v>289</v>
      </c>
      <c r="C259" s="1850"/>
      <c r="D259" s="1850"/>
      <c r="E259" s="1850"/>
      <c r="F259" s="1850"/>
      <c r="G259" s="1851"/>
      <c r="H259" s="1852" t="s">
        <v>107</v>
      </c>
      <c r="I259" s="1825"/>
      <c r="J259" s="1723"/>
      <c r="K259" s="1724"/>
      <c r="L259" s="1754"/>
      <c r="M259" s="1755"/>
      <c r="N259" s="1755"/>
      <c r="O259" s="1755"/>
      <c r="P259" s="1755"/>
      <c r="Q259" s="1756" t="s">
        <v>107</v>
      </c>
      <c r="R259" s="1757"/>
      <c r="S259" s="1758"/>
      <c r="T259" s="1826"/>
      <c r="U259" s="1823"/>
      <c r="V259" s="38">
        <f>IF(AND(Q259="ja",R259=""),1,0)</f>
        <v>0</v>
      </c>
      <c r="W259" s="40">
        <f>IF(H259="ja",Z259,0)</f>
        <v>0</v>
      </c>
      <c r="X259" s="40">
        <f>IF(H259="ja",AA259,0)</f>
        <v>0</v>
      </c>
      <c r="Y259" s="97" t="s">
        <v>290</v>
      </c>
      <c r="Z259" s="98">
        <v>1E-3</v>
      </c>
      <c r="AA259" s="98">
        <v>1E-3</v>
      </c>
      <c r="AB259" s="38"/>
      <c r="AC259" s="38">
        <f t="shared" si="4"/>
        <v>0</v>
      </c>
      <c r="AD259" s="38"/>
    </row>
    <row r="260" spans="1:30" ht="14.25" customHeight="1" thickBot="1" x14ac:dyDescent="0.3">
      <c r="A260" s="760"/>
      <c r="B260" s="1747" t="s">
        <v>291</v>
      </c>
      <c r="C260" s="1748"/>
      <c r="D260" s="1748"/>
      <c r="E260" s="1748"/>
      <c r="F260" s="1748"/>
      <c r="G260" s="1749"/>
      <c r="H260" s="1824" t="s">
        <v>107</v>
      </c>
      <c r="I260" s="1825"/>
      <c r="J260" s="1723"/>
      <c r="K260" s="1724"/>
      <c r="L260" s="1754"/>
      <c r="M260" s="1755"/>
      <c r="N260" s="1755"/>
      <c r="O260" s="1755"/>
      <c r="P260" s="1755"/>
      <c r="Q260" s="1756"/>
      <c r="R260" s="1757"/>
      <c r="S260" s="1758"/>
      <c r="T260" s="1826"/>
      <c r="U260" s="1823"/>
      <c r="V260" s="38"/>
      <c r="W260" s="40">
        <f>IF(H260="ja",Z260,0)</f>
        <v>0</v>
      </c>
      <c r="X260" s="40">
        <f>IF(H260="ja",AA260,0)</f>
        <v>0</v>
      </c>
      <c r="Y260" s="97" t="s">
        <v>292</v>
      </c>
      <c r="Z260" s="98">
        <v>0.01</v>
      </c>
      <c r="AA260" s="98">
        <v>0.01</v>
      </c>
      <c r="AB260" s="38"/>
      <c r="AC260" s="38">
        <f t="shared" si="4"/>
        <v>0</v>
      </c>
      <c r="AD260" s="38"/>
    </row>
    <row r="261" spans="1:30" ht="14.25" customHeight="1" thickBot="1" x14ac:dyDescent="0.3">
      <c r="A261" s="760"/>
      <c r="B261" s="1733"/>
      <c r="C261" s="1734"/>
      <c r="D261" s="1734"/>
      <c r="E261" s="1734"/>
      <c r="F261" s="1734"/>
      <c r="G261" s="1735"/>
      <c r="H261" s="1833"/>
      <c r="I261" s="1834"/>
      <c r="J261" s="1835"/>
      <c r="K261" s="1836"/>
      <c r="L261" s="1837"/>
      <c r="M261" s="1838"/>
      <c r="N261" s="1838"/>
      <c r="O261" s="1838"/>
      <c r="P261" s="1838"/>
      <c r="Q261" s="1756"/>
      <c r="R261" s="1757"/>
      <c r="S261" s="1758"/>
      <c r="T261" s="1842"/>
      <c r="U261" s="1823"/>
      <c r="V261" s="38"/>
      <c r="W261" s="41">
        <f>SUM(W215:W260)</f>
        <v>0</v>
      </c>
      <c r="X261" s="41">
        <f>SUM(X215:X260)</f>
        <v>0</v>
      </c>
      <c r="Y261" s="38"/>
      <c r="Z261" s="38"/>
      <c r="AA261" s="38"/>
      <c r="AB261" s="38"/>
      <c r="AC261" s="38">
        <f t="shared" si="4"/>
        <v>0</v>
      </c>
      <c r="AD261" s="38"/>
    </row>
    <row r="262" spans="1:30" ht="14.25" customHeight="1" thickBot="1" x14ac:dyDescent="0.3">
      <c r="A262" s="760"/>
      <c r="B262" s="1798" t="s">
        <v>293</v>
      </c>
      <c r="C262" s="1799"/>
      <c r="D262" s="1799"/>
      <c r="E262" s="1799"/>
      <c r="F262" s="1799"/>
      <c r="G262" s="1843">
        <f>COUNTIF(H215:H261,"ja")</f>
        <v>0</v>
      </c>
      <c r="H262" s="1844"/>
      <c r="I262" s="1802"/>
      <c r="J262" s="1803"/>
      <c r="K262" s="1804"/>
      <c r="L262" s="1845">
        <f>SUM(R215:S261)</f>
        <v>0</v>
      </c>
      <c r="M262" s="1846"/>
      <c r="N262" s="1846"/>
      <c r="O262" s="1846"/>
      <c r="P262" s="1846"/>
      <c r="Q262" s="1807"/>
      <c r="R262" s="1808"/>
      <c r="S262" s="1809"/>
      <c r="T262" s="1810"/>
      <c r="U262" s="1811" t="s">
        <v>170</v>
      </c>
      <c r="V262" s="38"/>
      <c r="W262" s="315">
        <f>IF(AND($B$129=$T$19,I262=""),1,0)</f>
        <v>0</v>
      </c>
      <c r="X262" s="315">
        <f>F272</f>
        <v>0</v>
      </c>
      <c r="Y262" s="96" t="s">
        <v>294</v>
      </c>
      <c r="Z262" s="96"/>
      <c r="AA262" s="96"/>
      <c r="AB262" s="38"/>
      <c r="AC262" s="38">
        <f t="shared" si="4"/>
        <v>0</v>
      </c>
      <c r="AD262" s="38"/>
    </row>
    <row r="263" spans="1:30" ht="14.25" customHeight="1" thickBot="1" x14ac:dyDescent="0.3">
      <c r="A263" s="760"/>
      <c r="B263" s="1703" t="s">
        <v>295</v>
      </c>
      <c r="C263" s="1704"/>
      <c r="D263" s="1704"/>
      <c r="E263" s="1704"/>
      <c r="F263" s="1704"/>
      <c r="G263" s="1705"/>
      <c r="H263" s="1858" t="s">
        <v>107</v>
      </c>
      <c r="I263" s="1816">
        <f>IF($I$52="Gebäude",W272,X272)</f>
        <v>0</v>
      </c>
      <c r="J263" s="1708">
        <f>I263*I129</f>
        <v>0</v>
      </c>
      <c r="K263" s="1709"/>
      <c r="L263" s="1817"/>
      <c r="M263" s="1818"/>
      <c r="N263" s="1818"/>
      <c r="O263" s="1818"/>
      <c r="P263" s="1818"/>
      <c r="Q263" s="1756" t="s">
        <v>107</v>
      </c>
      <c r="R263" s="1757"/>
      <c r="S263" s="1758"/>
      <c r="T263" s="1822" t="str">
        <f>IFERROR(IF((VLOOKUP(U263,Überblick!$M$124:$N$132,2))="ja","ja","nein"),"")</f>
        <v/>
      </c>
      <c r="U263" s="1823"/>
      <c r="V263" s="38">
        <f>IF(AND(Q263="ja",R263=""),1,0)</f>
        <v>0</v>
      </c>
      <c r="W263" s="40">
        <f>IF(H263="ja",Z263,0)</f>
        <v>0</v>
      </c>
      <c r="X263" s="40">
        <f>IF(H263="ja",AA263,0)</f>
        <v>0</v>
      </c>
      <c r="Y263" s="97" t="s">
        <v>203</v>
      </c>
      <c r="Z263" s="98">
        <v>0.01</v>
      </c>
      <c r="AA263" s="98">
        <v>0.01</v>
      </c>
      <c r="AB263" s="38"/>
      <c r="AC263" s="38">
        <f t="shared" si="4"/>
        <v>0</v>
      </c>
      <c r="AD263" s="38">
        <f>IF(AND(I263+SUM(V263:V271)&gt;0,U263=""),1,0)</f>
        <v>0</v>
      </c>
    </row>
    <row r="264" spans="1:30" ht="14.25" customHeight="1" thickBot="1" x14ac:dyDescent="0.3">
      <c r="A264" s="760"/>
      <c r="B264" s="1718"/>
      <c r="C264" s="1719"/>
      <c r="D264" s="1719"/>
      <c r="E264" s="1719"/>
      <c r="F264" s="1719"/>
      <c r="G264" s="1720"/>
      <c r="H264" s="1859"/>
      <c r="I264" s="1825"/>
      <c r="J264" s="1723"/>
      <c r="K264" s="1724"/>
      <c r="L264" s="1754"/>
      <c r="M264" s="1755"/>
      <c r="N264" s="1755"/>
      <c r="O264" s="1755"/>
      <c r="P264" s="1755"/>
      <c r="Q264" s="1756"/>
      <c r="R264" s="1757"/>
      <c r="S264" s="1758"/>
      <c r="T264" s="1826"/>
      <c r="U264" s="1823"/>
      <c r="V264" s="38"/>
      <c r="W264" s="38"/>
      <c r="X264" s="38"/>
      <c r="Y264" s="38"/>
      <c r="Z264" s="38"/>
      <c r="AA264" s="38"/>
      <c r="AB264" s="38"/>
      <c r="AC264" s="38">
        <f t="shared" si="4"/>
        <v>0</v>
      </c>
      <c r="AD264" s="38"/>
    </row>
    <row r="265" spans="1:30" ht="14.25" customHeight="1" thickBot="1" x14ac:dyDescent="0.3">
      <c r="A265" s="760"/>
      <c r="B265" s="1718"/>
      <c r="C265" s="1719"/>
      <c r="D265" s="1719"/>
      <c r="E265" s="1719"/>
      <c r="F265" s="1719"/>
      <c r="G265" s="1720"/>
      <c r="H265" s="1859"/>
      <c r="I265" s="1825"/>
      <c r="J265" s="1723"/>
      <c r="K265" s="1724"/>
      <c r="L265" s="1754"/>
      <c r="M265" s="1755"/>
      <c r="N265" s="1755"/>
      <c r="O265" s="1755"/>
      <c r="P265" s="1755"/>
      <c r="Q265" s="1756"/>
      <c r="R265" s="1757"/>
      <c r="S265" s="1758"/>
      <c r="T265" s="1826"/>
      <c r="U265" s="1823"/>
      <c r="V265" s="38"/>
      <c r="W265" s="38"/>
      <c r="X265" s="38"/>
      <c r="Y265" s="38"/>
      <c r="Z265" s="38"/>
      <c r="AA265" s="38"/>
      <c r="AB265" s="38"/>
      <c r="AC265" s="38">
        <f t="shared" si="4"/>
        <v>0</v>
      </c>
      <c r="AD265" s="38"/>
    </row>
    <row r="266" spans="1:30" ht="14.25" customHeight="1" thickBot="1" x14ac:dyDescent="0.3">
      <c r="A266" s="760"/>
      <c r="B266" s="1718"/>
      <c r="C266" s="1719"/>
      <c r="D266" s="1719"/>
      <c r="E266" s="1719"/>
      <c r="F266" s="1719"/>
      <c r="G266" s="1720"/>
      <c r="H266" s="1859"/>
      <c r="I266" s="1825"/>
      <c r="J266" s="1723"/>
      <c r="K266" s="1724"/>
      <c r="L266" s="1754"/>
      <c r="M266" s="1755"/>
      <c r="N266" s="1755"/>
      <c r="O266" s="1755"/>
      <c r="P266" s="1755"/>
      <c r="Q266" s="1756" t="s">
        <v>107</v>
      </c>
      <c r="R266" s="1757"/>
      <c r="S266" s="1758"/>
      <c r="T266" s="1826"/>
      <c r="U266" s="1823"/>
      <c r="V266" s="38">
        <f>IF(AND(Q266="ja",R266=""),1,0)</f>
        <v>0</v>
      </c>
      <c r="W266" s="38"/>
      <c r="X266" s="38"/>
      <c r="Y266" s="38"/>
      <c r="Z266" s="38"/>
      <c r="AA266" s="38"/>
      <c r="AB266" s="38"/>
      <c r="AC266" s="38">
        <f t="shared" si="4"/>
        <v>0</v>
      </c>
      <c r="AD266" s="38"/>
    </row>
    <row r="267" spans="1:30" ht="14.25" customHeight="1" thickBot="1" x14ac:dyDescent="0.3">
      <c r="A267" s="760"/>
      <c r="B267" s="1733"/>
      <c r="C267" s="1734"/>
      <c r="D267" s="1734"/>
      <c r="E267" s="1734"/>
      <c r="F267" s="1734"/>
      <c r="G267" s="1735"/>
      <c r="H267" s="1860"/>
      <c r="I267" s="1825"/>
      <c r="J267" s="1723"/>
      <c r="K267" s="1724"/>
      <c r="L267" s="1754"/>
      <c r="M267" s="1755"/>
      <c r="N267" s="1755"/>
      <c r="O267" s="1755"/>
      <c r="P267" s="1755"/>
      <c r="Q267" s="1756"/>
      <c r="R267" s="1757"/>
      <c r="S267" s="1758"/>
      <c r="T267" s="1826"/>
      <c r="U267" s="1823"/>
      <c r="V267" s="38"/>
      <c r="W267" s="38"/>
      <c r="X267" s="38"/>
      <c r="Y267" s="42"/>
      <c r="Z267" s="42"/>
      <c r="AA267" s="99"/>
      <c r="AB267" s="38"/>
      <c r="AC267" s="38">
        <f t="shared" si="4"/>
        <v>0</v>
      </c>
      <c r="AD267" s="38"/>
    </row>
    <row r="268" spans="1:30" ht="14.25" customHeight="1" thickBot="1" x14ac:dyDescent="0.3">
      <c r="A268" s="760"/>
      <c r="B268" s="1718" t="s">
        <v>296</v>
      </c>
      <c r="C268" s="1719"/>
      <c r="D268" s="1719"/>
      <c r="E268" s="1719"/>
      <c r="F268" s="1719"/>
      <c r="G268" s="1720"/>
      <c r="H268" s="1824" t="s">
        <v>107</v>
      </c>
      <c r="I268" s="1825"/>
      <c r="J268" s="1723"/>
      <c r="K268" s="1724"/>
      <c r="L268" s="1754"/>
      <c r="M268" s="1755"/>
      <c r="N268" s="1755"/>
      <c r="O268" s="1755"/>
      <c r="P268" s="1755"/>
      <c r="Q268" s="1756"/>
      <c r="R268" s="1757"/>
      <c r="S268" s="1758"/>
      <c r="T268" s="1826"/>
      <c r="U268" s="1823"/>
      <c r="V268" s="38"/>
      <c r="W268" s="40">
        <f>IF(H268="ja",Z268,0)</f>
        <v>0</v>
      </c>
      <c r="X268" s="40">
        <f>IF(H268="ja",AA268,0)</f>
        <v>0</v>
      </c>
      <c r="Y268" s="97" t="s">
        <v>177</v>
      </c>
      <c r="Z268" s="98">
        <v>8.0000000000000002E-3</v>
      </c>
      <c r="AA268" s="98">
        <v>8.0000000000000002E-3</v>
      </c>
      <c r="AB268" s="38"/>
      <c r="AC268" s="38">
        <f t="shared" si="4"/>
        <v>0</v>
      </c>
      <c r="AD268" s="38"/>
    </row>
    <row r="269" spans="1:30" ht="14.25" customHeight="1" thickBot="1" x14ac:dyDescent="0.3">
      <c r="A269" s="760"/>
      <c r="B269" s="1718"/>
      <c r="C269" s="1719"/>
      <c r="D269" s="1719"/>
      <c r="E269" s="1719"/>
      <c r="F269" s="1719"/>
      <c r="G269" s="1720"/>
      <c r="H269" s="1824"/>
      <c r="I269" s="1825"/>
      <c r="J269" s="1723"/>
      <c r="K269" s="1724"/>
      <c r="L269" s="1754"/>
      <c r="M269" s="1755"/>
      <c r="N269" s="1755"/>
      <c r="O269" s="1755"/>
      <c r="P269" s="1755"/>
      <c r="Q269" s="1756" t="s">
        <v>107</v>
      </c>
      <c r="R269" s="1757"/>
      <c r="S269" s="1758"/>
      <c r="T269" s="1826"/>
      <c r="U269" s="1823"/>
      <c r="V269" s="38">
        <f>IF(AND(Q269="ja",R269=""),1,0)</f>
        <v>0</v>
      </c>
      <c r="W269" s="38"/>
      <c r="X269" s="38"/>
      <c r="Y269" s="97"/>
      <c r="Z269" s="98"/>
      <c r="AA269" s="97"/>
      <c r="AB269" s="38"/>
      <c r="AC269" s="38">
        <f t="shared" si="4"/>
        <v>0</v>
      </c>
      <c r="AD269" s="38"/>
    </row>
    <row r="270" spans="1:30" ht="14.25" customHeight="1" thickBot="1" x14ac:dyDescent="0.3">
      <c r="A270" s="760"/>
      <c r="B270" s="1733"/>
      <c r="C270" s="1734"/>
      <c r="D270" s="1734"/>
      <c r="E270" s="1734"/>
      <c r="F270" s="1734"/>
      <c r="G270" s="1735"/>
      <c r="H270" s="1824"/>
      <c r="I270" s="1825"/>
      <c r="J270" s="1723"/>
      <c r="K270" s="1724"/>
      <c r="L270" s="1754"/>
      <c r="M270" s="1755"/>
      <c r="N270" s="1755"/>
      <c r="O270" s="1755"/>
      <c r="P270" s="1755"/>
      <c r="Q270" s="1756"/>
      <c r="R270" s="1757"/>
      <c r="S270" s="1758"/>
      <c r="T270" s="1826"/>
      <c r="U270" s="1823"/>
      <c r="V270" s="38"/>
      <c r="W270" s="38"/>
      <c r="X270" s="38"/>
      <c r="Y270" s="38"/>
      <c r="Z270" s="38"/>
      <c r="AA270" s="38"/>
      <c r="AB270" s="38"/>
      <c r="AC270" s="38">
        <f t="shared" si="4"/>
        <v>0</v>
      </c>
      <c r="AD270" s="38"/>
    </row>
    <row r="271" spans="1:30" ht="14.25" customHeight="1" thickBot="1" x14ac:dyDescent="0.3">
      <c r="A271" s="761"/>
      <c r="B271" s="1861" t="s">
        <v>297</v>
      </c>
      <c r="C271" s="1862"/>
      <c r="D271" s="1862"/>
      <c r="E271" s="1862"/>
      <c r="F271" s="1862"/>
      <c r="G271" s="1862"/>
      <c r="H271" s="1863" t="s">
        <v>107</v>
      </c>
      <c r="I271" s="1834"/>
      <c r="J271" s="1835"/>
      <c r="K271" s="1836"/>
      <c r="L271" s="1837"/>
      <c r="M271" s="1838"/>
      <c r="N271" s="1838"/>
      <c r="O271" s="1838"/>
      <c r="P271" s="1838"/>
      <c r="Q271" s="1756"/>
      <c r="R271" s="1757"/>
      <c r="S271" s="1758"/>
      <c r="T271" s="1842"/>
      <c r="U271" s="1823"/>
      <c r="V271" s="38"/>
      <c r="W271" s="40">
        <f>IF(H271="ja",Z271,0)</f>
        <v>0</v>
      </c>
      <c r="X271" s="40">
        <f>IF(H271="ja",AA271,0)</f>
        <v>0</v>
      </c>
      <c r="Y271" s="97" t="s">
        <v>208</v>
      </c>
      <c r="Z271" s="98">
        <v>2E-3</v>
      </c>
      <c r="AA271" s="98">
        <v>2E-3</v>
      </c>
      <c r="AB271" s="38"/>
      <c r="AC271" s="38">
        <f t="shared" si="4"/>
        <v>0</v>
      </c>
      <c r="AD271" s="38"/>
    </row>
    <row r="272" spans="1:30" ht="14.25" customHeight="1" thickBot="1" x14ac:dyDescent="0.3">
      <c r="A272" s="370"/>
      <c r="B272" s="14"/>
      <c r="C272" s="310"/>
      <c r="D272" s="310"/>
      <c r="E272" s="310"/>
      <c r="F272" s="313">
        <f>COUNTIF(H263:H271,"ja")</f>
        <v>0</v>
      </c>
      <c r="G272" s="1120" t="s">
        <v>298</v>
      </c>
      <c r="H272" s="756"/>
      <c r="I272" s="901">
        <f>I61+I77+I105+I133+I143++I149+I156+I160+I162+I166+I172+I198+I215+I263</f>
        <v>0.25550000000000006</v>
      </c>
      <c r="J272" s="1868">
        <f>'Berechnung - Hochbau'!Q165</f>
        <v>0</v>
      </c>
      <c r="K272" s="908"/>
      <c r="L272" s="903">
        <f>SUM(R263:S271)</f>
        <v>0</v>
      </c>
      <c r="M272" s="903"/>
      <c r="N272" s="903"/>
      <c r="O272" s="903"/>
      <c r="P272" s="904"/>
      <c r="Q272" s="911"/>
      <c r="R272" s="907">
        <f>SUM(R263:S271)+SUM(R215:S261)+SUM(R198:S213)+SUM(R172:S196)+SUM(R143:S170)+SUM(R133:S141)+SUM(R105:S128)+SUM(R77:S100)+SUM(R61:S75)</f>
        <v>0</v>
      </c>
      <c r="S272" s="908"/>
      <c r="T272" s="831"/>
      <c r="U272" s="834"/>
      <c r="V272" s="38"/>
      <c r="W272" s="41">
        <f>SUM(W263:W271)</f>
        <v>0</v>
      </c>
      <c r="X272" s="41">
        <f>SUM(X263:X271)</f>
        <v>0</v>
      </c>
      <c r="Y272" s="44"/>
      <c r="Z272" s="44"/>
      <c r="AA272" s="44"/>
      <c r="AB272" s="38"/>
      <c r="AC272" s="38">
        <f t="shared" ref="AC272" si="5">IF(Q272="ja",1,0)</f>
        <v>0</v>
      </c>
      <c r="AD272" s="38"/>
    </row>
    <row r="273" spans="1:30" ht="15" customHeight="1" thickBot="1" x14ac:dyDescent="0.3">
      <c r="A273" s="369"/>
      <c r="B273" s="311"/>
      <c r="C273" s="312"/>
      <c r="D273" s="312"/>
      <c r="E273" s="312"/>
      <c r="F273" s="312"/>
      <c r="G273" s="1121"/>
      <c r="H273" s="758"/>
      <c r="I273" s="902"/>
      <c r="J273" s="1869"/>
      <c r="K273" s="910"/>
      <c r="L273" s="905"/>
      <c r="M273" s="905"/>
      <c r="N273" s="905"/>
      <c r="O273" s="905"/>
      <c r="P273" s="906"/>
      <c r="Q273" s="912"/>
      <c r="R273" s="909"/>
      <c r="S273" s="910"/>
      <c r="T273" s="833"/>
      <c r="U273" s="834"/>
      <c r="V273" s="634">
        <f>SUM(V57:V271)+R42</f>
        <v>7</v>
      </c>
      <c r="W273" s="635"/>
      <c r="X273" s="130"/>
      <c r="Y273" s="130"/>
      <c r="Z273" s="38"/>
      <c r="AA273" s="38"/>
      <c r="AB273" s="38"/>
      <c r="AC273" s="634">
        <f>SUM(AC57:AC271)+Y42</f>
        <v>8</v>
      </c>
      <c r="AD273" s="636">
        <f>SUM(AD61:AD271)</f>
        <v>2</v>
      </c>
    </row>
    <row r="274" spans="1:30" ht="15" customHeight="1" x14ac:dyDescent="0.25">
      <c r="B274" s="84"/>
      <c r="C274" s="84"/>
      <c r="D274" s="84"/>
      <c r="E274" s="84"/>
      <c r="F274" s="84"/>
      <c r="G274" s="84"/>
      <c r="H274" s="84"/>
      <c r="I274" s="85"/>
      <c r="J274" s="86"/>
      <c r="K274" s="86"/>
      <c r="L274" s="87"/>
      <c r="M274" s="85"/>
      <c r="N274" s="85"/>
      <c r="O274" s="85"/>
      <c r="P274" s="86"/>
      <c r="Q274" s="86"/>
      <c r="R274" s="626"/>
      <c r="S274" s="627"/>
      <c r="T274" s="122"/>
      <c r="U274" s="122"/>
    </row>
    <row r="275" spans="1:30" ht="15" customHeight="1" x14ac:dyDescent="0.25">
      <c r="B275" s="899" t="s">
        <v>299</v>
      </c>
      <c r="C275" s="900"/>
      <c r="D275" s="900"/>
      <c r="E275" s="900"/>
      <c r="F275" s="900"/>
      <c r="G275" s="900"/>
      <c r="H275" s="900"/>
      <c r="I275" s="900"/>
      <c r="J275" s="900"/>
      <c r="K275" s="900"/>
      <c r="L275" s="900"/>
      <c r="M275" s="900"/>
      <c r="N275" s="900"/>
      <c r="O275" s="900"/>
      <c r="P275" s="900"/>
      <c r="Q275" s="900"/>
      <c r="R275" s="900"/>
      <c r="S275" s="627"/>
      <c r="T275" s="122"/>
      <c r="U275" s="122"/>
    </row>
    <row r="276" spans="1:30" ht="15" customHeight="1" x14ac:dyDescent="0.25">
      <c r="B276" s="900"/>
      <c r="C276" s="900"/>
      <c r="D276" s="900"/>
      <c r="E276" s="900"/>
      <c r="F276" s="900"/>
      <c r="G276" s="900"/>
      <c r="H276" s="900"/>
      <c r="I276" s="900"/>
      <c r="J276" s="900"/>
      <c r="K276" s="900"/>
      <c r="L276" s="900"/>
      <c r="M276" s="900"/>
      <c r="N276" s="900"/>
      <c r="O276" s="900"/>
      <c r="P276" s="900"/>
      <c r="Q276" s="900"/>
      <c r="R276" s="900"/>
      <c r="S276" s="627"/>
      <c r="T276" s="122"/>
      <c r="U276" s="122"/>
    </row>
    <row r="277" spans="1:30" ht="15" customHeight="1" x14ac:dyDescent="0.25">
      <c r="B277" s="242"/>
      <c r="C277" s="242"/>
      <c r="D277" s="242"/>
      <c r="E277" s="242"/>
      <c r="F277" s="242"/>
      <c r="G277" s="242"/>
      <c r="H277" s="242"/>
      <c r="I277" s="242"/>
      <c r="J277" s="242"/>
      <c r="K277" s="242"/>
      <c r="L277" s="242"/>
      <c r="M277" s="242"/>
      <c r="N277" s="242"/>
      <c r="O277" s="242"/>
      <c r="P277" s="242"/>
      <c r="Q277" s="242"/>
      <c r="R277" s="628"/>
      <c r="S277" s="627"/>
      <c r="T277" s="122"/>
      <c r="U277" s="122"/>
    </row>
    <row r="279" spans="1:30" x14ac:dyDescent="0.25">
      <c r="A279" s="357" t="s">
        <v>300</v>
      </c>
      <c r="B279" s="9" t="str">
        <f>IF(B1=V2,"Honorarvereinbarung für die zunächst beauftragten und für die optionalen Leistungen ","Honorarangebot für die zunächst beauftragten und für die optionalen Leistungen")</f>
        <v>Honorarangebot für die zunächst beauftragten und für die optionalen Leistungen</v>
      </c>
      <c r="Q279" s="9"/>
      <c r="AA279" s="371"/>
    </row>
    <row r="280" spans="1:30" ht="14.55" thickBot="1" x14ac:dyDescent="0.3"/>
    <row r="281" spans="1:30" x14ac:dyDescent="0.25">
      <c r="B281" s="703" t="s">
        <v>59</v>
      </c>
      <c r="C281" s="704"/>
      <c r="D281" s="704"/>
      <c r="E281" s="704"/>
      <c r="F281" s="705"/>
      <c r="G281" s="61"/>
      <c r="H281" s="884">
        <f>'Berechnung - Hochbau'!Q165</f>
        <v>0</v>
      </c>
      <c r="I281" s="884"/>
      <c r="J281" s="885"/>
    </row>
    <row r="282" spans="1:30" x14ac:dyDescent="0.25">
      <c r="B282" s="53"/>
      <c r="C282" s="54"/>
      <c r="D282" s="54"/>
      <c r="E282" s="54"/>
      <c r="F282" s="55"/>
      <c r="G282" s="51"/>
      <c r="J282" s="52"/>
    </row>
    <row r="283" spans="1:30" ht="15.95" customHeight="1" thickBot="1" x14ac:dyDescent="0.3">
      <c r="B283" s="886" t="s">
        <v>301</v>
      </c>
      <c r="C283" s="887"/>
      <c r="D283" s="887"/>
      <c r="E283" s="887"/>
      <c r="F283" s="888"/>
      <c r="G283" s="64">
        <f>F37</f>
        <v>0</v>
      </c>
      <c r="H283" s="896">
        <f>'Berechnung - Hochbau'!Q152-'Berechnung - Hochbau'!Q165</f>
        <v>0</v>
      </c>
      <c r="I283" s="896"/>
      <c r="J283" s="897"/>
    </row>
    <row r="284" spans="1:30" x14ac:dyDescent="0.25">
      <c r="B284" s="53"/>
      <c r="C284" s="54"/>
      <c r="D284" s="54"/>
      <c r="E284" s="54"/>
      <c r="F284" s="55"/>
      <c r="G284" s="51"/>
      <c r="J284" s="52"/>
    </row>
    <row r="285" spans="1:30" x14ac:dyDescent="0.25">
      <c r="B285" s="692" t="s">
        <v>61</v>
      </c>
      <c r="C285" s="693"/>
      <c r="D285" s="693"/>
      <c r="E285" s="693"/>
      <c r="F285" s="694"/>
      <c r="G285" s="63"/>
      <c r="H285" s="889">
        <f>R272</f>
        <v>0</v>
      </c>
      <c r="I285" s="889"/>
      <c r="J285" s="890"/>
    </row>
    <row r="286" spans="1:30" ht="14.55" thickBot="1" x14ac:dyDescent="0.3">
      <c r="B286" s="217"/>
      <c r="C286" s="218"/>
      <c r="D286" s="218"/>
      <c r="E286" s="218"/>
      <c r="F286" s="219"/>
      <c r="G286" s="891"/>
      <c r="H286" s="892"/>
      <c r="I286" s="892"/>
      <c r="J286" s="893"/>
    </row>
    <row r="287" spans="1:30" ht="15.95" customHeight="1" thickBot="1" x14ac:dyDescent="0.3">
      <c r="B287" s="744" t="s">
        <v>63</v>
      </c>
      <c r="C287" s="745"/>
      <c r="D287" s="745"/>
      <c r="E287" s="745"/>
      <c r="F287" s="746"/>
      <c r="G287" s="69"/>
      <c r="H287" s="894">
        <f>SUM(H281:J285)</f>
        <v>0</v>
      </c>
      <c r="I287" s="894"/>
      <c r="J287" s="895"/>
    </row>
    <row r="288" spans="1:30" x14ac:dyDescent="0.25">
      <c r="B288" s="238"/>
      <c r="C288" s="239"/>
      <c r="D288" s="239"/>
      <c r="E288" s="239"/>
      <c r="F288" s="240"/>
      <c r="G288" s="14"/>
      <c r="H288" s="56"/>
      <c r="I288" s="56"/>
      <c r="J288" s="57"/>
    </row>
    <row r="289" spans="1:26" ht="15" customHeight="1" x14ac:dyDescent="0.25">
      <c r="B289" s="715" t="s">
        <v>64</v>
      </c>
      <c r="C289" s="716"/>
      <c r="D289" s="716"/>
      <c r="E289" s="716"/>
      <c r="F289" s="717"/>
      <c r="G289" s="62">
        <f>Überblick!$G$97</f>
        <v>0.19</v>
      </c>
      <c r="H289" s="889">
        <f>H287*G289</f>
        <v>0</v>
      </c>
      <c r="I289" s="889"/>
      <c r="J289" s="890"/>
    </row>
    <row r="290" spans="1:26" ht="14.55" thickBot="1" x14ac:dyDescent="0.3">
      <c r="B290" s="226"/>
      <c r="C290" s="227"/>
      <c r="D290" s="227"/>
      <c r="E290" s="227"/>
      <c r="F290" s="228"/>
      <c r="G290" s="64"/>
      <c r="H290" s="220"/>
      <c r="I290" s="220"/>
      <c r="J290" s="221"/>
    </row>
    <row r="291" spans="1:26" ht="15" customHeight="1" x14ac:dyDescent="0.25">
      <c r="B291" s="738" t="s">
        <v>302</v>
      </c>
      <c r="C291" s="739"/>
      <c r="D291" s="739"/>
      <c r="E291" s="739"/>
      <c r="F291" s="740"/>
      <c r="G291" s="59"/>
      <c r="H291" s="880">
        <f>H287+H289</f>
        <v>0</v>
      </c>
      <c r="I291" s="880"/>
      <c r="J291" s="881"/>
    </row>
    <row r="292" spans="1:26" ht="14.55" thickBot="1" x14ac:dyDescent="0.3">
      <c r="B292" s="741"/>
      <c r="C292" s="742"/>
      <c r="D292" s="742"/>
      <c r="E292" s="742"/>
      <c r="F292" s="743"/>
      <c r="G292" s="60"/>
      <c r="H292" s="882"/>
      <c r="I292" s="882"/>
      <c r="J292" s="883"/>
    </row>
    <row r="294" spans="1:26" x14ac:dyDescent="0.25">
      <c r="A294" s="357" t="s">
        <v>303</v>
      </c>
      <c r="B294" s="28" t="str">
        <f>IF(B1=V2,"Honorarvereinbarung für die zunächst beauftragenden Leistungen","Honorangebot für die zunächst beauftragenden Leistungen ")</f>
        <v xml:space="preserve">Honorangebot für die zunächst beauftragenden Leistungen </v>
      </c>
      <c r="C294" s="28"/>
      <c r="D294" s="28"/>
      <c r="E294" s="28"/>
      <c r="F294" s="32"/>
      <c r="G294" s="32"/>
      <c r="H294" s="32"/>
      <c r="I294" s="33"/>
      <c r="J294" s="33"/>
      <c r="K294" s="33"/>
      <c r="L294" s="33"/>
      <c r="M294" s="33"/>
      <c r="N294" s="33"/>
      <c r="O294" s="33"/>
      <c r="P294" s="34"/>
      <c r="Q294" s="28"/>
      <c r="R294" s="629"/>
      <c r="S294" s="629"/>
      <c r="T294" s="629"/>
      <c r="U294" s="629"/>
      <c r="Z294" s="630"/>
    </row>
    <row r="295" spans="1:26" ht="14.55" thickBot="1" x14ac:dyDescent="0.3">
      <c r="B295" s="28"/>
      <c r="C295" s="28"/>
      <c r="D295" s="28"/>
      <c r="E295" s="28"/>
      <c r="F295" s="32"/>
      <c r="G295" s="32"/>
      <c r="H295" s="32"/>
      <c r="I295" s="33"/>
      <c r="J295" s="33"/>
      <c r="K295" s="33"/>
      <c r="L295" s="33"/>
      <c r="M295" s="33"/>
      <c r="N295" s="33"/>
      <c r="O295" s="33"/>
      <c r="P295" s="34"/>
      <c r="Q295" s="34"/>
      <c r="R295" s="629"/>
      <c r="S295" s="629"/>
      <c r="T295" s="629"/>
      <c r="U295" s="629"/>
    </row>
    <row r="296" spans="1:26" x14ac:dyDescent="0.25">
      <c r="B296" s="703" t="s">
        <v>59</v>
      </c>
      <c r="C296" s="704"/>
      <c r="D296" s="704"/>
      <c r="E296" s="704"/>
      <c r="F296" s="705"/>
      <c r="G296" s="61"/>
      <c r="H296" s="884">
        <f>'Berechnung - Hochbau'!M126</f>
        <v>0</v>
      </c>
      <c r="I296" s="884"/>
      <c r="J296" s="885"/>
      <c r="K296" s="33"/>
      <c r="L296" s="33"/>
      <c r="M296" s="33"/>
      <c r="N296" s="33"/>
      <c r="O296" s="33"/>
      <c r="P296" s="34"/>
      <c r="Q296" s="34"/>
      <c r="R296" s="629"/>
      <c r="S296" s="629"/>
      <c r="T296" s="629"/>
      <c r="U296" s="629"/>
    </row>
    <row r="297" spans="1:26" x14ac:dyDescent="0.25">
      <c r="B297" s="222"/>
      <c r="C297" s="10"/>
      <c r="D297" s="10"/>
      <c r="E297" s="10"/>
      <c r="F297" s="223"/>
      <c r="G297" s="63"/>
      <c r="H297" s="224"/>
      <c r="I297" s="224"/>
      <c r="J297" s="225"/>
      <c r="K297" s="33"/>
      <c r="L297" s="33"/>
      <c r="M297" s="33"/>
      <c r="N297" s="33"/>
      <c r="O297" s="33"/>
      <c r="P297" s="34"/>
      <c r="Q297" s="34"/>
      <c r="R297" s="629"/>
      <c r="S297" s="629"/>
      <c r="T297" s="629"/>
      <c r="U297" s="629"/>
    </row>
    <row r="298" spans="1:26" ht="15" customHeight="1" thickBot="1" x14ac:dyDescent="0.3">
      <c r="B298" s="886" t="s">
        <v>301</v>
      </c>
      <c r="C298" s="887"/>
      <c r="D298" s="887"/>
      <c r="E298" s="887"/>
      <c r="F298" s="888"/>
      <c r="G298" s="64">
        <f>F37</f>
        <v>0</v>
      </c>
      <c r="H298" s="896">
        <f>'Berechnung - Hochbau'!H126-'Berechnung - Hochbau'!M126</f>
        <v>0</v>
      </c>
      <c r="I298" s="896"/>
      <c r="J298" s="897"/>
      <c r="K298" s="33"/>
      <c r="L298" s="33"/>
      <c r="M298" s="33"/>
      <c r="N298" s="33"/>
      <c r="O298" s="33"/>
      <c r="P298" s="34"/>
      <c r="Q298" s="34"/>
      <c r="R298" s="629"/>
      <c r="S298" s="629"/>
      <c r="T298" s="629"/>
      <c r="U298" s="629"/>
    </row>
    <row r="299" spans="1:26" x14ac:dyDescent="0.25">
      <c r="B299" s="53"/>
      <c r="C299" s="54"/>
      <c r="D299" s="54"/>
      <c r="E299" s="54"/>
      <c r="F299" s="55"/>
      <c r="G299" s="14"/>
      <c r="H299" s="15"/>
      <c r="I299" s="15"/>
      <c r="J299" s="67"/>
      <c r="K299" s="33"/>
      <c r="L299" s="33"/>
      <c r="M299" s="33"/>
      <c r="N299" s="33"/>
      <c r="O299" s="33"/>
      <c r="P299" s="34"/>
      <c r="Q299" s="34"/>
      <c r="R299" s="629"/>
      <c r="S299" s="629"/>
      <c r="T299" s="629"/>
      <c r="U299" s="629"/>
    </row>
    <row r="300" spans="1:26" x14ac:dyDescent="0.25">
      <c r="B300" s="692" t="s">
        <v>61</v>
      </c>
      <c r="C300" s="693"/>
      <c r="D300" s="693"/>
      <c r="E300" s="693"/>
      <c r="F300" s="694"/>
      <c r="G300" s="63"/>
      <c r="H300" s="889">
        <f>'Berechnung - Hochbau'!J126</f>
        <v>0</v>
      </c>
      <c r="I300" s="889"/>
      <c r="J300" s="890"/>
      <c r="K300" s="33"/>
      <c r="L300" s="33"/>
      <c r="M300" s="33"/>
      <c r="N300" s="33"/>
      <c r="O300" s="33"/>
      <c r="P300" s="34"/>
      <c r="Q300" s="34"/>
      <c r="R300" s="629"/>
      <c r="S300" s="629"/>
      <c r="T300" s="629"/>
      <c r="U300" s="629"/>
    </row>
    <row r="301" spans="1:26" ht="14.55" thickBot="1" x14ac:dyDescent="0.3">
      <c r="B301" s="53"/>
      <c r="C301" s="54"/>
      <c r="D301" s="54"/>
      <c r="E301" s="54"/>
      <c r="F301" s="55"/>
      <c r="G301" s="891"/>
      <c r="H301" s="892"/>
      <c r="I301" s="892"/>
      <c r="J301" s="893"/>
      <c r="K301" s="33"/>
      <c r="L301" s="33"/>
      <c r="M301" s="33"/>
      <c r="N301" s="33"/>
      <c r="O301" s="33"/>
      <c r="P301" s="34"/>
      <c r="Q301" s="34"/>
      <c r="R301" s="629"/>
      <c r="S301" s="629"/>
      <c r="T301" s="629"/>
      <c r="U301" s="629"/>
    </row>
    <row r="302" spans="1:26" ht="15.95" customHeight="1" thickBot="1" x14ac:dyDescent="0.3">
      <c r="B302" s="744" t="s">
        <v>63</v>
      </c>
      <c r="C302" s="745"/>
      <c r="D302" s="745"/>
      <c r="E302" s="745"/>
      <c r="F302" s="746"/>
      <c r="G302" s="69"/>
      <c r="H302" s="894">
        <f>SUM(H296:J300)</f>
        <v>0</v>
      </c>
      <c r="I302" s="894"/>
      <c r="J302" s="895"/>
      <c r="K302" s="33"/>
      <c r="L302" s="33"/>
      <c r="M302" s="33"/>
      <c r="N302" s="33"/>
      <c r="O302" s="33"/>
      <c r="P302" s="34"/>
      <c r="Q302" s="34"/>
      <c r="R302" s="629"/>
      <c r="S302" s="629"/>
      <c r="T302" s="629"/>
      <c r="U302" s="629"/>
    </row>
    <row r="303" spans="1:26" x14ac:dyDescent="0.25">
      <c r="B303" s="238"/>
      <c r="C303" s="239"/>
      <c r="D303" s="239"/>
      <c r="E303" s="239"/>
      <c r="F303" s="240"/>
      <c r="G303" s="14"/>
      <c r="H303" s="56"/>
      <c r="I303" s="56"/>
      <c r="J303" s="57"/>
      <c r="K303" s="33"/>
      <c r="L303" s="33"/>
      <c r="M303" s="33"/>
      <c r="N303" s="33"/>
      <c r="O303" s="33"/>
      <c r="P303" s="34"/>
      <c r="Q303" s="34"/>
      <c r="R303" s="629"/>
      <c r="S303" s="629"/>
      <c r="T303" s="629"/>
      <c r="U303" s="629"/>
    </row>
    <row r="304" spans="1:26" x14ac:dyDescent="0.25">
      <c r="B304" s="715" t="s">
        <v>98</v>
      </c>
      <c r="C304" s="716"/>
      <c r="D304" s="716"/>
      <c r="E304" s="716"/>
      <c r="F304" s="717"/>
      <c r="G304" s="62">
        <f>Überblick!$G$97</f>
        <v>0.19</v>
      </c>
      <c r="H304" s="889">
        <f>H302*G304</f>
        <v>0</v>
      </c>
      <c r="I304" s="889"/>
      <c r="J304" s="890"/>
      <c r="K304" s="33"/>
      <c r="L304" s="33"/>
      <c r="M304" s="33"/>
      <c r="N304" s="33"/>
      <c r="O304" s="33"/>
      <c r="P304" s="34"/>
      <c r="Q304" s="34"/>
      <c r="R304" s="629"/>
      <c r="S304" s="629"/>
      <c r="T304" s="629"/>
      <c r="U304" s="629"/>
    </row>
    <row r="305" spans="1:21" ht="14.55" thickBot="1" x14ac:dyDescent="0.3">
      <c r="B305" s="226"/>
      <c r="C305" s="227"/>
      <c r="D305" s="227"/>
      <c r="E305" s="227"/>
      <c r="F305" s="228"/>
      <c r="G305" s="64"/>
      <c r="H305" s="220"/>
      <c r="I305" s="220"/>
      <c r="J305" s="221"/>
      <c r="K305" s="33"/>
      <c r="L305" s="33"/>
      <c r="M305" s="33"/>
      <c r="N305" s="33"/>
      <c r="O305" s="33"/>
      <c r="P305" s="34"/>
      <c r="Q305" s="34"/>
      <c r="R305" s="629"/>
      <c r="S305" s="629"/>
      <c r="T305" s="629"/>
      <c r="U305" s="629"/>
    </row>
    <row r="306" spans="1:21" x14ac:dyDescent="0.25">
      <c r="B306" s="738" t="s">
        <v>304</v>
      </c>
      <c r="C306" s="739"/>
      <c r="D306" s="739"/>
      <c r="E306" s="739"/>
      <c r="F306" s="740"/>
      <c r="G306" s="103"/>
      <c r="H306" s="880">
        <f>H302+H304</f>
        <v>0</v>
      </c>
      <c r="I306" s="880"/>
      <c r="J306" s="881"/>
      <c r="K306" s="33"/>
      <c r="L306" s="33"/>
      <c r="M306" s="33"/>
      <c r="N306" s="33"/>
      <c r="O306" s="33"/>
      <c r="P306" s="34"/>
      <c r="Q306" s="34"/>
      <c r="R306" s="629"/>
      <c r="S306" s="629"/>
      <c r="T306" s="629"/>
      <c r="U306" s="629"/>
    </row>
    <row r="307" spans="1:21" ht="14.55" thickBot="1" x14ac:dyDescent="0.3">
      <c r="B307" s="741"/>
      <c r="C307" s="742"/>
      <c r="D307" s="742"/>
      <c r="E307" s="742"/>
      <c r="F307" s="743"/>
      <c r="G307" s="60"/>
      <c r="H307" s="882"/>
      <c r="I307" s="882"/>
      <c r="J307" s="883"/>
      <c r="K307" s="33"/>
      <c r="L307" s="33"/>
      <c r="M307" s="33"/>
      <c r="N307" s="33"/>
      <c r="O307" s="33"/>
      <c r="P307" s="34"/>
      <c r="Q307" s="34"/>
      <c r="R307" s="629"/>
      <c r="S307" s="629"/>
      <c r="T307" s="629"/>
      <c r="U307" s="629"/>
    </row>
    <row r="308" spans="1:21" x14ac:dyDescent="0.25">
      <c r="B308" s="28"/>
      <c r="C308" s="28"/>
      <c r="D308" s="28"/>
      <c r="E308" s="28"/>
      <c r="F308" s="32"/>
      <c r="G308" s="32"/>
      <c r="H308" s="32"/>
      <c r="I308" s="33"/>
      <c r="J308" s="33"/>
      <c r="K308" s="33"/>
      <c r="L308" s="33"/>
      <c r="M308" s="33"/>
      <c r="N308" s="33"/>
      <c r="O308" s="33"/>
      <c r="P308" s="34"/>
      <c r="Q308" s="34"/>
      <c r="R308" s="629"/>
      <c r="S308" s="629"/>
      <c r="T308" s="629"/>
      <c r="U308" s="629"/>
    </row>
    <row r="309" spans="1:21" x14ac:dyDescent="0.25">
      <c r="A309" s="357" t="s">
        <v>305</v>
      </c>
      <c r="B309" s="9" t="str">
        <f>IF(B1=V2,"Gemäß der Honorarvereinbarung werden die Stufen wie folgt vergütet (netto): ","Gemäß des Honorarangebotes werden die Stufen wie folgt vergütet (netto): ")</f>
        <v xml:space="preserve">Gemäß des Honorarangebotes werden die Stufen wie folgt vergütet (netto): </v>
      </c>
      <c r="C309" s="9"/>
      <c r="D309" s="9"/>
      <c r="E309" s="9"/>
      <c r="F309" s="9"/>
      <c r="G309" s="9"/>
      <c r="H309" s="9"/>
      <c r="I309" s="9"/>
      <c r="J309" s="9"/>
      <c r="K309" s="9"/>
      <c r="L309" s="28"/>
      <c r="M309" s="33"/>
      <c r="N309" s="33"/>
      <c r="O309" s="9"/>
      <c r="P309" s="34"/>
      <c r="Q309" s="34"/>
      <c r="R309" s="629"/>
      <c r="S309" s="629"/>
      <c r="T309" s="629"/>
      <c r="U309" s="629"/>
    </row>
    <row r="310" spans="1:21" ht="14.55" thickBot="1" x14ac:dyDescent="0.3">
      <c r="B310" s="28"/>
      <c r="C310" s="28"/>
      <c r="D310" s="28"/>
      <c r="E310" s="28"/>
      <c r="F310" s="32"/>
      <c r="G310" s="32"/>
      <c r="H310" s="32"/>
      <c r="I310" s="33"/>
      <c r="J310" s="33"/>
      <c r="K310" s="33"/>
      <c r="L310" s="33"/>
      <c r="M310" s="33"/>
      <c r="N310" s="33"/>
      <c r="O310" s="9"/>
      <c r="P310" s="34"/>
      <c r="Q310" s="34"/>
      <c r="R310" s="629"/>
      <c r="S310" s="629"/>
      <c r="T310" s="629"/>
      <c r="U310" s="629"/>
    </row>
    <row r="311" spans="1:21" ht="15.2" thickTop="1" thickBot="1" x14ac:dyDescent="0.3">
      <c r="B311" s="263" t="s">
        <v>115</v>
      </c>
      <c r="C311" s="264" t="s">
        <v>306</v>
      </c>
      <c r="D311" s="265" t="s">
        <v>307</v>
      </c>
      <c r="E311" s="266" t="s">
        <v>308</v>
      </c>
      <c r="F311" s="266" t="s">
        <v>309</v>
      </c>
      <c r="G311" s="267" t="s">
        <v>310</v>
      </c>
      <c r="H311" s="267" t="s">
        <v>311</v>
      </c>
      <c r="I311" s="268" t="s">
        <v>312</v>
      </c>
      <c r="J311" s="268" t="s">
        <v>313</v>
      </c>
      <c r="K311" s="268" t="s">
        <v>314</v>
      </c>
      <c r="L311" s="268" t="s">
        <v>315</v>
      </c>
      <c r="M311" s="268" t="s">
        <v>316</v>
      </c>
      <c r="N311" s="268" t="s">
        <v>317</v>
      </c>
      <c r="O311" s="268" t="s">
        <v>318</v>
      </c>
      <c r="P311" s="269" t="s">
        <v>319</v>
      </c>
      <c r="Q311" s="34"/>
      <c r="R311" s="629"/>
      <c r="S311" s="629"/>
      <c r="T311" s="629"/>
      <c r="U311" s="629"/>
    </row>
    <row r="312" spans="1:21" x14ac:dyDescent="0.25">
      <c r="A312" s="358"/>
      <c r="B312" s="99" t="str">
        <f>IF(Überblick!$H$53&gt;=1,"1:",0)</f>
        <v>1:</v>
      </c>
      <c r="C312" s="351">
        <f>'Berechnung - Hochbau'!C131</f>
        <v>0</v>
      </c>
      <c r="D312" s="351">
        <f>'Berechnung - Hochbau'!D131</f>
        <v>0</v>
      </c>
      <c r="E312" s="351">
        <f>'Berechnung - Hochbau'!E131</f>
        <v>0</v>
      </c>
      <c r="F312" s="351">
        <f>'Berechnung - Hochbau'!F131</f>
        <v>0</v>
      </c>
      <c r="G312" s="351">
        <f>'Berechnung - Hochbau'!G131</f>
        <v>0</v>
      </c>
      <c r="H312" s="351">
        <f>'Berechnung - Hochbau'!H131</f>
        <v>0</v>
      </c>
      <c r="I312" s="351">
        <f>'Berechnung - Hochbau'!I131</f>
        <v>0</v>
      </c>
      <c r="J312" s="351">
        <f>'Berechnung - Hochbau'!J131</f>
        <v>0</v>
      </c>
      <c r="K312" s="351">
        <f>'Berechnung - Hochbau'!K131</f>
        <v>0</v>
      </c>
      <c r="L312" s="351">
        <f>'Berechnung - Hochbau'!L131</f>
        <v>0</v>
      </c>
      <c r="M312" s="351">
        <f>'Berechnung - Hochbau'!M131</f>
        <v>0</v>
      </c>
      <c r="N312" s="351">
        <f>'Berechnung - Hochbau'!N131</f>
        <v>0</v>
      </c>
      <c r="O312" s="351">
        <f>'Berechnung - Hochbau'!O131</f>
        <v>0</v>
      </c>
      <c r="P312" s="351">
        <f>'Berechnung - Hochbau'!P131</f>
        <v>0</v>
      </c>
      <c r="Q312" s="58">
        <f>SUM(C312:P312)</f>
        <v>0</v>
      </c>
      <c r="S312" s="31"/>
      <c r="T312" s="31"/>
      <c r="U312" s="31"/>
    </row>
    <row r="313" spans="1:21" ht="15.95" customHeight="1" x14ac:dyDescent="0.25">
      <c r="A313" s="358"/>
      <c r="B313" s="99" t="str">
        <f>IF(Überblick!$H$53&gt;=2,"2:",0)</f>
        <v>2:</v>
      </c>
      <c r="C313" s="351">
        <f>'Berechnung - Hochbau'!C132</f>
        <v>0</v>
      </c>
      <c r="D313" s="351">
        <f>'Berechnung - Hochbau'!D132</f>
        <v>0</v>
      </c>
      <c r="E313" s="351">
        <f>'Berechnung - Hochbau'!E132</f>
        <v>0</v>
      </c>
      <c r="F313" s="351">
        <f>'Berechnung - Hochbau'!F132</f>
        <v>0</v>
      </c>
      <c r="G313" s="351">
        <f>'Berechnung - Hochbau'!G132</f>
        <v>0</v>
      </c>
      <c r="H313" s="351">
        <f>'Berechnung - Hochbau'!H132</f>
        <v>0</v>
      </c>
      <c r="I313" s="351">
        <f>'Berechnung - Hochbau'!I132</f>
        <v>0</v>
      </c>
      <c r="J313" s="351">
        <f>'Berechnung - Hochbau'!J132</f>
        <v>0</v>
      </c>
      <c r="K313" s="351">
        <f>'Berechnung - Hochbau'!K132</f>
        <v>0</v>
      </c>
      <c r="L313" s="351">
        <f>'Berechnung - Hochbau'!L132</f>
        <v>0</v>
      </c>
      <c r="M313" s="351">
        <f>'Berechnung - Hochbau'!M132</f>
        <v>0</v>
      </c>
      <c r="N313" s="351">
        <f>'Berechnung - Hochbau'!N132</f>
        <v>0</v>
      </c>
      <c r="O313" s="351">
        <f>'Berechnung - Hochbau'!O132</f>
        <v>0</v>
      </c>
      <c r="P313" s="351">
        <f>'Berechnung - Hochbau'!P132</f>
        <v>0</v>
      </c>
      <c r="Q313" s="58">
        <f t="shared" ref="Q313:Q319" si="6">SUM(C313:P313)</f>
        <v>0</v>
      </c>
    </row>
    <row r="314" spans="1:21" x14ac:dyDescent="0.25">
      <c r="A314" s="27"/>
      <c r="B314" s="99" t="str">
        <f>IF(Überblick!$H$53&gt;=3,"3:",0)</f>
        <v>3:</v>
      </c>
      <c r="C314" s="351">
        <f>'Berechnung - Hochbau'!C133</f>
        <v>0</v>
      </c>
      <c r="D314" s="351">
        <f>'Berechnung - Hochbau'!D133</f>
        <v>0</v>
      </c>
      <c r="E314" s="351">
        <f>'Berechnung - Hochbau'!E133</f>
        <v>0</v>
      </c>
      <c r="F314" s="351">
        <f>'Berechnung - Hochbau'!F133</f>
        <v>0</v>
      </c>
      <c r="G314" s="351">
        <f>'Berechnung - Hochbau'!G133</f>
        <v>0</v>
      </c>
      <c r="H314" s="351">
        <f>'Berechnung - Hochbau'!H133</f>
        <v>0</v>
      </c>
      <c r="I314" s="351">
        <f>'Berechnung - Hochbau'!I133</f>
        <v>0</v>
      </c>
      <c r="J314" s="351">
        <f>'Berechnung - Hochbau'!J133</f>
        <v>0</v>
      </c>
      <c r="K314" s="351">
        <f>'Berechnung - Hochbau'!K133</f>
        <v>0</v>
      </c>
      <c r="L314" s="351">
        <f>'Berechnung - Hochbau'!L133</f>
        <v>0</v>
      </c>
      <c r="M314" s="351">
        <f>'Berechnung - Hochbau'!M133</f>
        <v>0</v>
      </c>
      <c r="N314" s="351">
        <f>'Berechnung - Hochbau'!N133</f>
        <v>0</v>
      </c>
      <c r="O314" s="351">
        <f>'Berechnung - Hochbau'!O133</f>
        <v>0</v>
      </c>
      <c r="P314" s="351">
        <f>'Berechnung - Hochbau'!P133</f>
        <v>0</v>
      </c>
      <c r="Q314" s="58">
        <f t="shared" si="6"/>
        <v>0</v>
      </c>
    </row>
    <row r="315" spans="1:21" x14ac:dyDescent="0.25">
      <c r="B315" s="99">
        <f>IF(Überblick!$H$53&gt;=4,"4:",0)</f>
        <v>0</v>
      </c>
      <c r="C315" s="351">
        <f>'Berechnung - Hochbau'!C134</f>
        <v>0</v>
      </c>
      <c r="D315" s="351">
        <f>'Berechnung - Hochbau'!D134</f>
        <v>0</v>
      </c>
      <c r="E315" s="665">
        <f>'Berechnung - Hochbau'!E134</f>
        <v>0</v>
      </c>
      <c r="F315" s="665">
        <f>'Berechnung - Hochbau'!F134</f>
        <v>0</v>
      </c>
      <c r="G315" s="351">
        <f>'Berechnung - Hochbau'!G134</f>
        <v>0</v>
      </c>
      <c r="H315" s="351">
        <f>'Berechnung - Hochbau'!H134</f>
        <v>0</v>
      </c>
      <c r="I315" s="351">
        <f>'Berechnung - Hochbau'!I134</f>
        <v>0</v>
      </c>
      <c r="J315" s="351">
        <f>'Berechnung - Hochbau'!J134</f>
        <v>0</v>
      </c>
      <c r="K315" s="351">
        <f>'Berechnung - Hochbau'!K134</f>
        <v>0</v>
      </c>
      <c r="L315" s="351">
        <f>'Berechnung - Hochbau'!L134</f>
        <v>0</v>
      </c>
      <c r="M315" s="351">
        <f>'Berechnung - Hochbau'!M134</f>
        <v>0</v>
      </c>
      <c r="N315" s="351">
        <f>'Berechnung - Hochbau'!N134</f>
        <v>0</v>
      </c>
      <c r="O315" s="351">
        <f>'Berechnung - Hochbau'!O134</f>
        <v>0</v>
      </c>
      <c r="P315" s="351">
        <f>'Berechnung - Hochbau'!P134</f>
        <v>0</v>
      </c>
      <c r="Q315" s="58">
        <f t="shared" si="6"/>
        <v>0</v>
      </c>
    </row>
    <row r="316" spans="1:21" x14ac:dyDescent="0.25">
      <c r="B316" s="99">
        <f>IF(Überblick!$H$53&gt;=5,"5:",0)</f>
        <v>0</v>
      </c>
      <c r="C316" s="351">
        <f>'Berechnung - Hochbau'!C135</f>
        <v>0</v>
      </c>
      <c r="D316" s="351">
        <f>'Berechnung - Hochbau'!D135</f>
        <v>0</v>
      </c>
      <c r="E316" s="665">
        <f>'Berechnung - Hochbau'!E135</f>
        <v>0</v>
      </c>
      <c r="F316" s="665">
        <f>'Berechnung - Hochbau'!F135</f>
        <v>0</v>
      </c>
      <c r="G316" s="351">
        <f>'Berechnung - Hochbau'!G135</f>
        <v>0</v>
      </c>
      <c r="H316" s="351">
        <f>'Berechnung - Hochbau'!H135</f>
        <v>0</v>
      </c>
      <c r="I316" s="351">
        <f>'Berechnung - Hochbau'!I135</f>
        <v>0</v>
      </c>
      <c r="J316" s="351">
        <f>'Berechnung - Hochbau'!J135</f>
        <v>0</v>
      </c>
      <c r="K316" s="351">
        <f>'Berechnung - Hochbau'!K135</f>
        <v>0</v>
      </c>
      <c r="L316" s="351">
        <f>'Berechnung - Hochbau'!L135</f>
        <v>0</v>
      </c>
      <c r="M316" s="351">
        <f>'Berechnung - Hochbau'!M135</f>
        <v>0</v>
      </c>
      <c r="N316" s="351">
        <f>'Berechnung - Hochbau'!N135</f>
        <v>0</v>
      </c>
      <c r="O316" s="351">
        <f>'Berechnung - Hochbau'!O135</f>
        <v>0</v>
      </c>
      <c r="P316" s="351">
        <f>'Berechnung - Hochbau'!P135</f>
        <v>0</v>
      </c>
      <c r="Q316" s="58">
        <f t="shared" si="6"/>
        <v>0</v>
      </c>
    </row>
    <row r="317" spans="1:21" ht="15.95" customHeight="1" x14ac:dyDescent="0.25">
      <c r="B317" s="99">
        <f>IF(Überblick!$H$53&gt;=6,"6:",0)</f>
        <v>0</v>
      </c>
      <c r="C317" s="351">
        <f>'Berechnung - Hochbau'!C136</f>
        <v>0</v>
      </c>
      <c r="D317" s="351">
        <f>'Berechnung - Hochbau'!D136</f>
        <v>0</v>
      </c>
      <c r="E317" s="665">
        <f>'Berechnung - Hochbau'!E136</f>
        <v>0</v>
      </c>
      <c r="F317" s="665">
        <f>'Berechnung - Hochbau'!F136</f>
        <v>0</v>
      </c>
      <c r="G317" s="351">
        <f>'Berechnung - Hochbau'!G136</f>
        <v>0</v>
      </c>
      <c r="H317" s="351">
        <f>'Berechnung - Hochbau'!H136</f>
        <v>0</v>
      </c>
      <c r="I317" s="351">
        <f>'Berechnung - Hochbau'!I136</f>
        <v>0</v>
      </c>
      <c r="J317" s="351">
        <f>'Berechnung - Hochbau'!J136</f>
        <v>0</v>
      </c>
      <c r="K317" s="351">
        <f>'Berechnung - Hochbau'!K136</f>
        <v>0</v>
      </c>
      <c r="L317" s="351">
        <f>'Berechnung - Hochbau'!L136</f>
        <v>0</v>
      </c>
      <c r="M317" s="351">
        <f>'Berechnung - Hochbau'!M136</f>
        <v>0</v>
      </c>
      <c r="N317" s="351">
        <f>'Berechnung - Hochbau'!N136</f>
        <v>0</v>
      </c>
      <c r="O317" s="351">
        <f>'Berechnung - Hochbau'!O136</f>
        <v>0</v>
      </c>
      <c r="P317" s="351">
        <f>'Berechnung - Hochbau'!P136</f>
        <v>0</v>
      </c>
      <c r="Q317" s="58">
        <f t="shared" si="6"/>
        <v>0</v>
      </c>
    </row>
    <row r="318" spans="1:21" x14ac:dyDescent="0.25">
      <c r="B318" s="99">
        <f>IF(Überblick!$H$53&gt;=7,"7:",0)</f>
        <v>0</v>
      </c>
      <c r="C318" s="351">
        <f>'Berechnung - Hochbau'!C137</f>
        <v>0</v>
      </c>
      <c r="D318" s="351">
        <f>'Berechnung - Hochbau'!D137</f>
        <v>0</v>
      </c>
      <c r="E318" s="665">
        <f>'Berechnung - Hochbau'!E137</f>
        <v>0</v>
      </c>
      <c r="F318" s="665">
        <f>'Berechnung - Hochbau'!F137</f>
        <v>0</v>
      </c>
      <c r="G318" s="351">
        <f>'Berechnung - Hochbau'!G137</f>
        <v>0</v>
      </c>
      <c r="H318" s="351">
        <f>'Berechnung - Hochbau'!H137</f>
        <v>0</v>
      </c>
      <c r="I318" s="351">
        <f>'Berechnung - Hochbau'!I137</f>
        <v>0</v>
      </c>
      <c r="J318" s="351">
        <f>'Berechnung - Hochbau'!J137</f>
        <v>0</v>
      </c>
      <c r="K318" s="351">
        <f>'Berechnung - Hochbau'!K137</f>
        <v>0</v>
      </c>
      <c r="L318" s="351">
        <f>'Berechnung - Hochbau'!L137</f>
        <v>0</v>
      </c>
      <c r="M318" s="351">
        <f>'Berechnung - Hochbau'!M137</f>
        <v>0</v>
      </c>
      <c r="N318" s="351">
        <f>'Berechnung - Hochbau'!N137</f>
        <v>0</v>
      </c>
      <c r="O318" s="351">
        <f>'Berechnung - Hochbau'!O137</f>
        <v>0</v>
      </c>
      <c r="P318" s="351">
        <f>'Berechnung - Hochbau'!P137</f>
        <v>0</v>
      </c>
      <c r="Q318" s="58">
        <f t="shared" si="6"/>
        <v>0</v>
      </c>
    </row>
    <row r="319" spans="1:21" ht="15" customHeight="1" x14ac:dyDescent="0.25">
      <c r="B319" s="99">
        <f>IF(Überblick!$H$53&gt;=8,"8:",0)</f>
        <v>0</v>
      </c>
      <c r="C319" s="351">
        <f>'Berechnung - Hochbau'!C138</f>
        <v>0</v>
      </c>
      <c r="D319" s="351">
        <f>'Berechnung - Hochbau'!D138</f>
        <v>0</v>
      </c>
      <c r="E319" s="665">
        <f>'Berechnung - Hochbau'!E138</f>
        <v>0</v>
      </c>
      <c r="F319" s="665">
        <f>'Berechnung - Hochbau'!F138</f>
        <v>0</v>
      </c>
      <c r="G319" s="351">
        <f>'Berechnung - Hochbau'!G138</f>
        <v>0</v>
      </c>
      <c r="H319" s="351">
        <f>'Berechnung - Hochbau'!H138</f>
        <v>0</v>
      </c>
      <c r="I319" s="351">
        <f>'Berechnung - Hochbau'!I138</f>
        <v>0</v>
      </c>
      <c r="J319" s="351">
        <f>'Berechnung - Hochbau'!J138</f>
        <v>0</v>
      </c>
      <c r="K319" s="351">
        <f>'Berechnung - Hochbau'!K138</f>
        <v>0</v>
      </c>
      <c r="L319" s="351">
        <f>'Berechnung - Hochbau'!L138</f>
        <v>0</v>
      </c>
      <c r="M319" s="351">
        <f>'Berechnung - Hochbau'!M138</f>
        <v>0</v>
      </c>
      <c r="N319" s="351">
        <f>'Berechnung - Hochbau'!N138</f>
        <v>0</v>
      </c>
      <c r="O319" s="351">
        <f>'Berechnung - Hochbau'!O138</f>
        <v>0</v>
      </c>
      <c r="P319" s="351">
        <f>'Berechnung - Hochbau'!P138</f>
        <v>0</v>
      </c>
      <c r="Q319" s="58">
        <f t="shared" si="6"/>
        <v>0</v>
      </c>
    </row>
    <row r="320" spans="1:21" x14ac:dyDescent="0.25">
      <c r="B320" s="99">
        <f>IF(Überblick!$H$53&gt;=9,"9:",0)</f>
        <v>0</v>
      </c>
      <c r="C320" s="351">
        <f>'Berechnung - Hochbau'!C139</f>
        <v>0</v>
      </c>
      <c r="D320" s="351">
        <f>'Berechnung - Hochbau'!D139</f>
        <v>0</v>
      </c>
      <c r="E320" s="665">
        <f>'Berechnung - Hochbau'!E139</f>
        <v>0</v>
      </c>
      <c r="F320" s="665">
        <f>'Berechnung - Hochbau'!F139</f>
        <v>0</v>
      </c>
      <c r="G320" s="351">
        <f>'Berechnung - Hochbau'!G139</f>
        <v>0</v>
      </c>
      <c r="H320" s="351">
        <f>'Berechnung - Hochbau'!H139</f>
        <v>0</v>
      </c>
      <c r="I320" s="351">
        <f>'Berechnung - Hochbau'!I139</f>
        <v>0</v>
      </c>
      <c r="J320" s="351">
        <f>'Berechnung - Hochbau'!J139</f>
        <v>0</v>
      </c>
      <c r="K320" s="351">
        <f>'Berechnung - Hochbau'!K139</f>
        <v>0</v>
      </c>
      <c r="L320" s="351">
        <f>'Berechnung - Hochbau'!L139</f>
        <v>0</v>
      </c>
      <c r="M320" s="351">
        <f>'Berechnung - Hochbau'!M139</f>
        <v>0</v>
      </c>
      <c r="N320" s="351">
        <f>'Berechnung - Hochbau'!N139</f>
        <v>0</v>
      </c>
      <c r="O320" s="351">
        <f>'Berechnung - Hochbau'!O139</f>
        <v>0</v>
      </c>
      <c r="P320" s="351">
        <f>'Berechnung - Hochbau'!P139</f>
        <v>0</v>
      </c>
      <c r="Q320" s="58"/>
    </row>
    <row r="321" spans="2:17" ht="14.25" customHeight="1" x14ac:dyDescent="0.25">
      <c r="B321" s="88"/>
      <c r="C321" s="88"/>
      <c r="D321" s="88"/>
      <c r="E321" s="88"/>
      <c r="F321" s="88"/>
      <c r="G321" s="88"/>
      <c r="H321" s="88"/>
      <c r="I321" s="88"/>
      <c r="J321" s="88"/>
      <c r="K321" s="88"/>
      <c r="L321" s="88"/>
      <c r="M321" s="88"/>
      <c r="N321" s="88"/>
      <c r="O321" s="88"/>
      <c r="P321" s="88"/>
      <c r="Q321" s="58"/>
    </row>
    <row r="322" spans="2:17" x14ac:dyDescent="0.25">
      <c r="B322" s="88"/>
      <c r="C322" s="88"/>
      <c r="D322" s="88"/>
      <c r="E322" s="88"/>
      <c r="F322" s="88"/>
      <c r="G322" s="88"/>
      <c r="H322" s="88"/>
      <c r="I322" s="88"/>
      <c r="J322" s="88"/>
      <c r="K322" s="88"/>
      <c r="L322" s="88"/>
      <c r="M322" s="88"/>
      <c r="N322" s="88"/>
      <c r="O322" s="88"/>
      <c r="P322" s="88"/>
      <c r="Q322" s="58"/>
    </row>
    <row r="323" spans="2:17" x14ac:dyDescent="0.25">
      <c r="Q323" s="58"/>
    </row>
    <row r="324" spans="2:17" x14ac:dyDescent="0.25">
      <c r="Q324" s="58"/>
    </row>
  </sheetData>
  <sheetProtection algorithmName="SHA-512" hashValue="FnWPleqrTkvQ1TCQS0m8EozNOa0G/Ik03GGiqB7AkK5XWYLLblVa8hcWYb8A7YVt9A5JqGtg8Hql06twRCsuig==" saltValue="iQJBRvTs/0pFk6Ee1/ZmnA==" spinCount="100000" sheet="1" objects="1" scenarios="1"/>
  <mergeCells count="579">
    <mergeCell ref="L139:P139"/>
    <mergeCell ref="R139:S139"/>
    <mergeCell ref="L140:P140"/>
    <mergeCell ref="R140:S140"/>
    <mergeCell ref="L141:P141"/>
    <mergeCell ref="R141:S141"/>
    <mergeCell ref="L134:P134"/>
    <mergeCell ref="R134:S134"/>
    <mergeCell ref="L135:P135"/>
    <mergeCell ref="R135:S135"/>
    <mergeCell ref="L136:P136"/>
    <mergeCell ref="R136:S136"/>
    <mergeCell ref="L137:P137"/>
    <mergeCell ref="R137:S137"/>
    <mergeCell ref="L138:P138"/>
    <mergeCell ref="R138:S138"/>
    <mergeCell ref="L125:P125"/>
    <mergeCell ref="R125:S125"/>
    <mergeCell ref="L126:P126"/>
    <mergeCell ref="R126:S126"/>
    <mergeCell ref="L127:P127"/>
    <mergeCell ref="R127:S127"/>
    <mergeCell ref="L128:P128"/>
    <mergeCell ref="R128:S128"/>
    <mergeCell ref="L133:P133"/>
    <mergeCell ref="R133:S133"/>
    <mergeCell ref="L129:P131"/>
    <mergeCell ref="L132:P132"/>
    <mergeCell ref="L120:P120"/>
    <mergeCell ref="R120:S120"/>
    <mergeCell ref="L121:P121"/>
    <mergeCell ref="R121:S121"/>
    <mergeCell ref="L122:P122"/>
    <mergeCell ref="R122:S122"/>
    <mergeCell ref="L123:P123"/>
    <mergeCell ref="R123:S123"/>
    <mergeCell ref="L124:P124"/>
    <mergeCell ref="R124:S124"/>
    <mergeCell ref="L118:P118"/>
    <mergeCell ref="R118:S118"/>
    <mergeCell ref="L119:P119"/>
    <mergeCell ref="R119:S119"/>
    <mergeCell ref="L110:P110"/>
    <mergeCell ref="R110:S110"/>
    <mergeCell ref="L107:P109"/>
    <mergeCell ref="Q107:Q109"/>
    <mergeCell ref="R107:S109"/>
    <mergeCell ref="R115:S115"/>
    <mergeCell ref="R116:S116"/>
    <mergeCell ref="L115:P115"/>
    <mergeCell ref="L116:P116"/>
    <mergeCell ref="L112:P114"/>
    <mergeCell ref="Q112:Q114"/>
    <mergeCell ref="L96:P96"/>
    <mergeCell ref="R96:S96"/>
    <mergeCell ref="L97:P97"/>
    <mergeCell ref="R97:S97"/>
    <mergeCell ref="L98:P98"/>
    <mergeCell ref="R98:S98"/>
    <mergeCell ref="L99:P99"/>
    <mergeCell ref="R99:S99"/>
    <mergeCell ref="L117:P117"/>
    <mergeCell ref="R117:S117"/>
    <mergeCell ref="L95:P95"/>
    <mergeCell ref="L82:P82"/>
    <mergeCell ref="L83:P83"/>
    <mergeCell ref="R82:S82"/>
    <mergeCell ref="R83:S83"/>
    <mergeCell ref="L85:P85"/>
    <mergeCell ref="L86:P86"/>
    <mergeCell ref="R85:S85"/>
    <mergeCell ref="R86:S86"/>
    <mergeCell ref="L88:P88"/>
    <mergeCell ref="R88:S88"/>
    <mergeCell ref="R95:S95"/>
    <mergeCell ref="AD59:AD60"/>
    <mergeCell ref="R193:S196"/>
    <mergeCell ref="Q193:Q196"/>
    <mergeCell ref="Q198:Q200"/>
    <mergeCell ref="Q201:Q203"/>
    <mergeCell ref="Q204:Q206"/>
    <mergeCell ref="H156:H159"/>
    <mergeCell ref="Q162:Q165"/>
    <mergeCell ref="H149:H155"/>
    <mergeCell ref="L162:P165"/>
    <mergeCell ref="L149:P155"/>
    <mergeCell ref="R149:S155"/>
    <mergeCell ref="R162:S165"/>
    <mergeCell ref="H183:H192"/>
    <mergeCell ref="H173:H177"/>
    <mergeCell ref="L172:P174"/>
    <mergeCell ref="R182:S192"/>
    <mergeCell ref="L201:P203"/>
    <mergeCell ref="L204:P206"/>
    <mergeCell ref="I76:K76"/>
    <mergeCell ref="L63:P63"/>
    <mergeCell ref="L64:P64"/>
    <mergeCell ref="L65:P65"/>
    <mergeCell ref="L66:P66"/>
    <mergeCell ref="Q166:Q170"/>
    <mergeCell ref="R166:S170"/>
    <mergeCell ref="T160:T161"/>
    <mergeCell ref="H69:H71"/>
    <mergeCell ref="L156:P159"/>
    <mergeCell ref="H193:H196"/>
    <mergeCell ref="H181:H182"/>
    <mergeCell ref="H160:H161"/>
    <mergeCell ref="I172:I196"/>
    <mergeCell ref="I61:I75"/>
    <mergeCell ref="J61:K75"/>
    <mergeCell ref="L62:P62"/>
    <mergeCell ref="H77:H78"/>
    <mergeCell ref="H119:H121"/>
    <mergeCell ref="I142:K142"/>
    <mergeCell ref="I129:K131"/>
    <mergeCell ref="I133:I141"/>
    <mergeCell ref="J133:K141"/>
    <mergeCell ref="I132:K132"/>
    <mergeCell ref="L76:P76"/>
    <mergeCell ref="I101:K103"/>
    <mergeCell ref="I105:I128"/>
    <mergeCell ref="J105:K128"/>
    <mergeCell ref="I104:K104"/>
    <mergeCell ref="A160:A161"/>
    <mergeCell ref="G272:H273"/>
    <mergeCell ref="I162:I164"/>
    <mergeCell ref="J162:K164"/>
    <mergeCell ref="I165:K165"/>
    <mergeCell ref="I166:I169"/>
    <mergeCell ref="J166:K169"/>
    <mergeCell ref="I170:K170"/>
    <mergeCell ref="L160:P161"/>
    <mergeCell ref="L166:P170"/>
    <mergeCell ref="A166:A170"/>
    <mergeCell ref="A162:A165"/>
    <mergeCell ref="J172:K196"/>
    <mergeCell ref="H228:H229"/>
    <mergeCell ref="H226:H227"/>
    <mergeCell ref="B268:G270"/>
    <mergeCell ref="H268:H270"/>
    <mergeCell ref="B235:G237"/>
    <mergeCell ref="H235:H237"/>
    <mergeCell ref="B233:G234"/>
    <mergeCell ref="H233:H234"/>
    <mergeCell ref="I171:K171"/>
    <mergeCell ref="B171:G171"/>
    <mergeCell ref="I197:K197"/>
    <mergeCell ref="B129:G131"/>
    <mergeCell ref="H129:H131"/>
    <mergeCell ref="H133:H138"/>
    <mergeCell ref="B139:G139"/>
    <mergeCell ref="B140:G141"/>
    <mergeCell ref="H140:H141"/>
    <mergeCell ref="B142:F142"/>
    <mergeCell ref="B132:F132"/>
    <mergeCell ref="B72:G75"/>
    <mergeCell ref="H72:H75"/>
    <mergeCell ref="B84:G85"/>
    <mergeCell ref="B76:E76"/>
    <mergeCell ref="B122:G122"/>
    <mergeCell ref="B123:G123"/>
    <mergeCell ref="B104:F104"/>
    <mergeCell ref="B105:G118"/>
    <mergeCell ref="H105:H118"/>
    <mergeCell ref="B119:G121"/>
    <mergeCell ref="B101:G103"/>
    <mergeCell ref="H101:H103"/>
    <mergeCell ref="B81:G83"/>
    <mergeCell ref="B79:G80"/>
    <mergeCell ref="H81:H83"/>
    <mergeCell ref="H79:H80"/>
    <mergeCell ref="F36:Q36"/>
    <mergeCell ref="B54:G56"/>
    <mergeCell ref="H54:H56"/>
    <mergeCell ref="I54:I56"/>
    <mergeCell ref="H61:H63"/>
    <mergeCell ref="Q57:Q59"/>
    <mergeCell ref="F11:I13"/>
    <mergeCell ref="J11:M13"/>
    <mergeCell ref="N11:Q13"/>
    <mergeCell ref="F37:Q42"/>
    <mergeCell ref="B37:E42"/>
    <mergeCell ref="P17:Q17"/>
    <mergeCell ref="B17:E17"/>
    <mergeCell ref="B57:G59"/>
    <mergeCell ref="H57:H59"/>
    <mergeCell ref="F28:Q28"/>
    <mergeCell ref="F29:Q29"/>
    <mergeCell ref="I52:K53"/>
    <mergeCell ref="J54:K56"/>
    <mergeCell ref="L57:P59"/>
    <mergeCell ref="B61:G63"/>
    <mergeCell ref="B22:E23"/>
    <mergeCell ref="B28:E28"/>
    <mergeCell ref="B29:E29"/>
    <mergeCell ref="B64:G65"/>
    <mergeCell ref="H64:H65"/>
    <mergeCell ref="B66:G68"/>
    <mergeCell ref="H66:H68"/>
    <mergeCell ref="B98:G100"/>
    <mergeCell ref="B95:G97"/>
    <mergeCell ref="B92:G94"/>
    <mergeCell ref="B90:G91"/>
    <mergeCell ref="H98:H100"/>
    <mergeCell ref="H95:H97"/>
    <mergeCell ref="H92:H94"/>
    <mergeCell ref="H90:H91"/>
    <mergeCell ref="H86:H89"/>
    <mergeCell ref="H84:H85"/>
    <mergeCell ref="B86:G89"/>
    <mergeCell ref="B127:G128"/>
    <mergeCell ref="H124:H125"/>
    <mergeCell ref="B124:G125"/>
    <mergeCell ref="H127:H128"/>
    <mergeCell ref="B126:G126"/>
    <mergeCell ref="H143:H148"/>
    <mergeCell ref="H200:H204"/>
    <mergeCell ref="F5:Q5"/>
    <mergeCell ref="H19:I19"/>
    <mergeCell ref="L19:M19"/>
    <mergeCell ref="L20:M20"/>
    <mergeCell ref="F6:I6"/>
    <mergeCell ref="J9:K9"/>
    <mergeCell ref="L9:M9"/>
    <mergeCell ref="J10:K10"/>
    <mergeCell ref="L10:M10"/>
    <mergeCell ref="G15:H15"/>
    <mergeCell ref="J6:M6"/>
    <mergeCell ref="N6:Q6"/>
    <mergeCell ref="F8:G8"/>
    <mergeCell ref="H8:I8"/>
    <mergeCell ref="N7:O7"/>
    <mergeCell ref="N8:O8"/>
    <mergeCell ref="B36:E36"/>
    <mergeCell ref="B19:E19"/>
    <mergeCell ref="B20:E21"/>
    <mergeCell ref="H17:I17"/>
    <mergeCell ref="P23:Q23"/>
    <mergeCell ref="F32:I32"/>
    <mergeCell ref="J32:M32"/>
    <mergeCell ref="N32:Q32"/>
    <mergeCell ref="F30:I31"/>
    <mergeCell ref="N30:Q31"/>
    <mergeCell ref="J30:M31"/>
    <mergeCell ref="H21:I21"/>
    <mergeCell ref="L21:M21"/>
    <mergeCell ref="H23:I23"/>
    <mergeCell ref="L23:M23"/>
    <mergeCell ref="L7:M7"/>
    <mergeCell ref="P7:Q7"/>
    <mergeCell ref="P19:Q19"/>
    <mergeCell ref="P20:Q20"/>
    <mergeCell ref="P21:Q21"/>
    <mergeCell ref="N10:O10"/>
    <mergeCell ref="P10:Q10"/>
    <mergeCell ref="L8:M8"/>
    <mergeCell ref="B14:E15"/>
    <mergeCell ref="P8:Q8"/>
    <mergeCell ref="N9:O9"/>
    <mergeCell ref="P9:Q9"/>
    <mergeCell ref="J7:K7"/>
    <mergeCell ref="J8:K8"/>
    <mergeCell ref="F7:G7"/>
    <mergeCell ref="H7:I7"/>
    <mergeCell ref="B8:E8"/>
    <mergeCell ref="L17:M17"/>
    <mergeCell ref="B10:E10"/>
    <mergeCell ref="B9:E9"/>
    <mergeCell ref="F9:G9"/>
    <mergeCell ref="F10:G10"/>
    <mergeCell ref="H9:I9"/>
    <mergeCell ref="H10:I10"/>
    <mergeCell ref="R160:S161"/>
    <mergeCell ref="I143:I147"/>
    <mergeCell ref="T57:T59"/>
    <mergeCell ref="T105:T128"/>
    <mergeCell ref="T133:T141"/>
    <mergeCell ref="T129:T131"/>
    <mergeCell ref="T101:T103"/>
    <mergeCell ref="T77:T100"/>
    <mergeCell ref="R65:S65"/>
    <mergeCell ref="R66:S66"/>
    <mergeCell ref="R67:S67"/>
    <mergeCell ref="R87:S87"/>
    <mergeCell ref="R93:S93"/>
    <mergeCell ref="R94:S94"/>
    <mergeCell ref="R57:S59"/>
    <mergeCell ref="R70:S70"/>
    <mergeCell ref="R76:S76"/>
    <mergeCell ref="R61:S61"/>
    <mergeCell ref="R111:S111"/>
    <mergeCell ref="R112:S114"/>
    <mergeCell ref="R132:S132"/>
    <mergeCell ref="L101:P103"/>
    <mergeCell ref="L89:P89"/>
    <mergeCell ref="R89:S89"/>
    <mergeCell ref="B298:F298"/>
    <mergeCell ref="H298:J298"/>
    <mergeCell ref="T162:T165"/>
    <mergeCell ref="R171:S171"/>
    <mergeCell ref="H166:H170"/>
    <mergeCell ref="H162:H165"/>
    <mergeCell ref="B172:G172"/>
    <mergeCell ref="B213:G213"/>
    <mergeCell ref="H208:H209"/>
    <mergeCell ref="H210:H212"/>
    <mergeCell ref="B205:G205"/>
    <mergeCell ref="B206:G207"/>
    <mergeCell ref="H206:H207"/>
    <mergeCell ref="B208:G209"/>
    <mergeCell ref="B210:G212"/>
    <mergeCell ref="B178:G180"/>
    <mergeCell ref="B173:G177"/>
    <mergeCell ref="H178:H180"/>
    <mergeCell ref="B197:F197"/>
    <mergeCell ref="B200:G204"/>
    <mergeCell ref="I198:I213"/>
    <mergeCell ref="L198:P200"/>
    <mergeCell ref="R198:S200"/>
    <mergeCell ref="R207:S209"/>
    <mergeCell ref="B238:G239"/>
    <mergeCell ref="B263:G267"/>
    <mergeCell ref="H263:H267"/>
    <mergeCell ref="B258:G258"/>
    <mergeCell ref="B259:G259"/>
    <mergeCell ref="B260:G261"/>
    <mergeCell ref="H260:H261"/>
    <mergeCell ref="H238:H239"/>
    <mergeCell ref="B275:R276"/>
    <mergeCell ref="B271:G271"/>
    <mergeCell ref="J272:K273"/>
    <mergeCell ref="I272:I273"/>
    <mergeCell ref="L272:P273"/>
    <mergeCell ref="R272:S273"/>
    <mergeCell ref="Q272:Q273"/>
    <mergeCell ref="L262:P262"/>
    <mergeCell ref="L259:P261"/>
    <mergeCell ref="R263:S265"/>
    <mergeCell ref="R266:S268"/>
    <mergeCell ref="R269:S271"/>
    <mergeCell ref="Q263:Q265"/>
    <mergeCell ref="R262:S262"/>
    <mergeCell ref="Q259:Q261"/>
    <mergeCell ref="J263:K271"/>
    <mergeCell ref="R227:S229"/>
    <mergeCell ref="R224:S226"/>
    <mergeCell ref="L248:P250"/>
    <mergeCell ref="Q269:Q271"/>
    <mergeCell ref="L269:P271"/>
    <mergeCell ref="L266:P268"/>
    <mergeCell ref="L263:P265"/>
    <mergeCell ref="R256:S258"/>
    <mergeCell ref="R259:S261"/>
    <mergeCell ref="Q266:Q268"/>
    <mergeCell ref="R251:S255"/>
    <mergeCell ref="R248:S250"/>
    <mergeCell ref="R245:S247"/>
    <mergeCell ref="L237:P239"/>
    <mergeCell ref="L251:P255"/>
    <mergeCell ref="L245:P247"/>
    <mergeCell ref="Q245:Q247"/>
    <mergeCell ref="Q248:Q250"/>
    <mergeCell ref="Q251:Q255"/>
    <mergeCell ref="Q256:Q258"/>
    <mergeCell ref="L256:P258"/>
    <mergeCell ref="H306:J307"/>
    <mergeCell ref="H291:J292"/>
    <mergeCell ref="B306:F307"/>
    <mergeCell ref="B281:F281"/>
    <mergeCell ref="H281:J281"/>
    <mergeCell ref="B283:F283"/>
    <mergeCell ref="B285:F285"/>
    <mergeCell ref="H285:J285"/>
    <mergeCell ref="G286:J286"/>
    <mergeCell ref="B287:F287"/>
    <mergeCell ref="H287:J287"/>
    <mergeCell ref="B289:F289"/>
    <mergeCell ref="H289:J289"/>
    <mergeCell ref="B291:F292"/>
    <mergeCell ref="B300:F300"/>
    <mergeCell ref="H300:J300"/>
    <mergeCell ref="B296:F296"/>
    <mergeCell ref="H283:J283"/>
    <mergeCell ref="G301:J301"/>
    <mergeCell ref="B302:F302"/>
    <mergeCell ref="H302:J302"/>
    <mergeCell ref="B304:F304"/>
    <mergeCell ref="H304:J304"/>
    <mergeCell ref="H296:J296"/>
    <mergeCell ref="B250:G251"/>
    <mergeCell ref="H250:H251"/>
    <mergeCell ref="I263:I271"/>
    <mergeCell ref="J198:K213"/>
    <mergeCell ref="I215:I261"/>
    <mergeCell ref="J215:K261"/>
    <mergeCell ref="I214:K214"/>
    <mergeCell ref="I262:K262"/>
    <mergeCell ref="H246:H249"/>
    <mergeCell ref="B252:G257"/>
    <mergeCell ref="H252:H257"/>
    <mergeCell ref="B245:G245"/>
    <mergeCell ref="B246:G249"/>
    <mergeCell ref="B240:G244"/>
    <mergeCell ref="B226:G227"/>
    <mergeCell ref="B214:F214"/>
    <mergeCell ref="B262:F262"/>
    <mergeCell ref="H223:H225"/>
    <mergeCell ref="B228:G229"/>
    <mergeCell ref="H240:H244"/>
    <mergeCell ref="B215:G222"/>
    <mergeCell ref="H215:H222"/>
    <mergeCell ref="H230:H232"/>
    <mergeCell ref="B223:G225"/>
    <mergeCell ref="U57:U59"/>
    <mergeCell ref="U61:U75"/>
    <mergeCell ref="U77:U100"/>
    <mergeCell ref="T61:T75"/>
    <mergeCell ref="I57:K59"/>
    <mergeCell ref="I60:K60"/>
    <mergeCell ref="L94:P94"/>
    <mergeCell ref="R77:S78"/>
    <mergeCell ref="R79:S81"/>
    <mergeCell ref="R84:S84"/>
    <mergeCell ref="L61:P61"/>
    <mergeCell ref="I77:I100"/>
    <mergeCell ref="J77:K100"/>
    <mergeCell ref="L77:P78"/>
    <mergeCell ref="L79:P81"/>
    <mergeCell ref="L84:P84"/>
    <mergeCell ref="L87:P87"/>
    <mergeCell ref="L93:P93"/>
    <mergeCell ref="L90:P90"/>
    <mergeCell ref="R90:S90"/>
    <mergeCell ref="L91:P91"/>
    <mergeCell ref="R91:S91"/>
    <mergeCell ref="L92:P92"/>
    <mergeCell ref="R92:S92"/>
    <mergeCell ref="R201:S203"/>
    <mergeCell ref="R204:S206"/>
    <mergeCell ref="R179:S181"/>
    <mergeCell ref="L182:P192"/>
    <mergeCell ref="Q149:Q155"/>
    <mergeCell ref="Q129:Q131"/>
    <mergeCell ref="R129:S131"/>
    <mergeCell ref="Q172:Q174"/>
    <mergeCell ref="Q175:Q177"/>
    <mergeCell ref="Q179:Q181"/>
    <mergeCell ref="Q182:Q192"/>
    <mergeCell ref="L171:P171"/>
    <mergeCell ref="L197:P197"/>
    <mergeCell ref="R197:S197"/>
    <mergeCell ref="L193:P196"/>
    <mergeCell ref="R172:S174"/>
    <mergeCell ref="R175:S177"/>
    <mergeCell ref="R178:S178"/>
    <mergeCell ref="L175:P177"/>
    <mergeCell ref="L178:P178"/>
    <mergeCell ref="R156:S159"/>
    <mergeCell ref="Q156:Q159"/>
    <mergeCell ref="L143:P148"/>
    <mergeCell ref="Q143:Q148"/>
    <mergeCell ref="R215:S223"/>
    <mergeCell ref="R240:S244"/>
    <mergeCell ref="R237:S239"/>
    <mergeCell ref="L207:P209"/>
    <mergeCell ref="L210:P212"/>
    <mergeCell ref="R214:S214"/>
    <mergeCell ref="Q215:Q223"/>
    <mergeCell ref="Q230:Q236"/>
    <mergeCell ref="Q207:Q209"/>
    <mergeCell ref="Q210:Q212"/>
    <mergeCell ref="Q224:Q226"/>
    <mergeCell ref="Q227:Q229"/>
    <mergeCell ref="R230:S236"/>
    <mergeCell ref="L240:P244"/>
    <mergeCell ref="R210:S212"/>
    <mergeCell ref="R213:S213"/>
    <mergeCell ref="L213:P213"/>
    <mergeCell ref="L230:P236"/>
    <mergeCell ref="Q240:Q244"/>
    <mergeCell ref="Q237:Q239"/>
    <mergeCell ref="L215:P223"/>
    <mergeCell ref="L224:P226"/>
    <mergeCell ref="L227:P229"/>
    <mergeCell ref="L214:P214"/>
    <mergeCell ref="T198:T213"/>
    <mergeCell ref="U272:U273"/>
    <mergeCell ref="U101:U103"/>
    <mergeCell ref="U129:U131"/>
    <mergeCell ref="U263:U271"/>
    <mergeCell ref="U215:U261"/>
    <mergeCell ref="U198:U213"/>
    <mergeCell ref="U172:U196"/>
    <mergeCell ref="U166:U170"/>
    <mergeCell ref="U162:U165"/>
    <mergeCell ref="U156:U159"/>
    <mergeCell ref="U149:U155"/>
    <mergeCell ref="U105:U128"/>
    <mergeCell ref="U133:U141"/>
    <mergeCell ref="U143:U148"/>
    <mergeCell ref="T272:T273"/>
    <mergeCell ref="T263:T271"/>
    <mergeCell ref="T215:T261"/>
    <mergeCell ref="T166:T170"/>
    <mergeCell ref="T172:T196"/>
    <mergeCell ref="T156:T159"/>
    <mergeCell ref="T143:T148"/>
    <mergeCell ref="T149:T155"/>
    <mergeCell ref="U160:U161"/>
    <mergeCell ref="L60:P60"/>
    <mergeCell ref="R60:S60"/>
    <mergeCell ref="R75:S75"/>
    <mergeCell ref="Q79:Q81"/>
    <mergeCell ref="Q77:Q78"/>
    <mergeCell ref="R62:S62"/>
    <mergeCell ref="R63:S63"/>
    <mergeCell ref="R64:S64"/>
    <mergeCell ref="L67:P67"/>
    <mergeCell ref="L70:P70"/>
    <mergeCell ref="R68:S68"/>
    <mergeCell ref="R69:S69"/>
    <mergeCell ref="R71:S71"/>
    <mergeCell ref="R72:S72"/>
    <mergeCell ref="R73:S73"/>
    <mergeCell ref="R74:S74"/>
    <mergeCell ref="L68:P68"/>
    <mergeCell ref="L69:P69"/>
    <mergeCell ref="L71:P71"/>
    <mergeCell ref="L72:P72"/>
    <mergeCell ref="L73:P73"/>
    <mergeCell ref="L74:P74"/>
    <mergeCell ref="B199:G199"/>
    <mergeCell ref="L104:P104"/>
    <mergeCell ref="R104:S104"/>
    <mergeCell ref="Q105:Q106"/>
    <mergeCell ref="L105:P106"/>
    <mergeCell ref="R105:S106"/>
    <mergeCell ref="L111:P111"/>
    <mergeCell ref="R142:S142"/>
    <mergeCell ref="Q101:Q103"/>
    <mergeCell ref="R101:S103"/>
    <mergeCell ref="L179:P181"/>
    <mergeCell ref="L142:P142"/>
    <mergeCell ref="J143:K147"/>
    <mergeCell ref="I148:K148"/>
    <mergeCell ref="I156:I158"/>
    <mergeCell ref="J156:K158"/>
    <mergeCell ref="I159:K159"/>
    <mergeCell ref="J160:K160"/>
    <mergeCell ref="I161:K161"/>
    <mergeCell ref="I149:I154"/>
    <mergeCell ref="J149:K154"/>
    <mergeCell ref="I155:K155"/>
    <mergeCell ref="R143:S148"/>
    <mergeCell ref="Q160:Q161"/>
    <mergeCell ref="S2:U2"/>
    <mergeCell ref="S3:U3"/>
    <mergeCell ref="S4:U4"/>
    <mergeCell ref="T1:U1"/>
    <mergeCell ref="A171:A271"/>
    <mergeCell ref="A54:A142"/>
    <mergeCell ref="B143:G148"/>
    <mergeCell ref="B181:G182"/>
    <mergeCell ref="B183:G192"/>
    <mergeCell ref="B193:G196"/>
    <mergeCell ref="B77:G78"/>
    <mergeCell ref="A156:A159"/>
    <mergeCell ref="A149:A155"/>
    <mergeCell ref="B69:G71"/>
    <mergeCell ref="A143:A148"/>
    <mergeCell ref="B160:G161"/>
    <mergeCell ref="B149:G155"/>
    <mergeCell ref="B156:G159"/>
    <mergeCell ref="B162:G165"/>
    <mergeCell ref="B166:G170"/>
    <mergeCell ref="B133:G138"/>
    <mergeCell ref="B60:G60"/>
    <mergeCell ref="B230:G232"/>
    <mergeCell ref="B198:G198"/>
  </mergeCells>
  <phoneticPr fontId="33" type="noConversion"/>
  <conditionalFormatting sqref="Z77">
    <cfRule type="containsText" dxfId="493" priority="327" operator="containsText" text="Ja">
      <formula>NOT(ISERROR(SEARCH("Ja",Z77)))</formula>
    </cfRule>
  </conditionalFormatting>
  <conditionalFormatting sqref="T77:T100">
    <cfRule type="expression" dxfId="492" priority="325">
      <formula>$T$77="ja"</formula>
    </cfRule>
  </conditionalFormatting>
  <conditionalFormatting sqref="T133:T141">
    <cfRule type="cellIs" dxfId="491" priority="254" operator="equal">
      <formula>"ja"</formula>
    </cfRule>
  </conditionalFormatting>
  <conditionalFormatting sqref="T143 T198:T213 T263:T271 T162:T170 T149:T160 T215:T261">
    <cfRule type="cellIs" dxfId="490" priority="251" operator="equal">
      <formula>$V$49</formula>
    </cfRule>
  </conditionalFormatting>
  <conditionalFormatting sqref="T172:T196">
    <cfRule type="cellIs" dxfId="489" priority="250" operator="equal">
      <formula>$V$49</formula>
    </cfRule>
  </conditionalFormatting>
  <conditionalFormatting sqref="T61">
    <cfRule type="expression" dxfId="488" priority="468">
      <formula>$T$61="JA"</formula>
    </cfRule>
  </conditionalFormatting>
  <conditionalFormatting sqref="B312:B319">
    <cfRule type="cellIs" dxfId="487" priority="110" operator="greaterThan">
      <formula>0</formula>
    </cfRule>
  </conditionalFormatting>
  <conditionalFormatting sqref="C312:P312">
    <cfRule type="expression" dxfId="486" priority="109">
      <formula>$B312&gt;=1</formula>
    </cfRule>
  </conditionalFormatting>
  <conditionalFormatting sqref="C313:P313">
    <cfRule type="expression" dxfId="485" priority="108">
      <formula>$B313&gt;=1</formula>
    </cfRule>
  </conditionalFormatting>
  <conditionalFormatting sqref="C314:P314">
    <cfRule type="expression" dxfId="484" priority="107">
      <formula>$B314&gt;=1</formula>
    </cfRule>
  </conditionalFormatting>
  <conditionalFormatting sqref="C315:P315">
    <cfRule type="expression" dxfId="483" priority="106">
      <formula>$B315&gt;=1</formula>
    </cfRule>
  </conditionalFormatting>
  <conditionalFormatting sqref="C316:P316">
    <cfRule type="expression" dxfId="482" priority="105">
      <formula>$B316&gt;=1</formula>
    </cfRule>
  </conditionalFormatting>
  <conditionalFormatting sqref="C317:P317">
    <cfRule type="expression" dxfId="481" priority="104">
      <formula>$B317&gt;=1</formula>
    </cfRule>
  </conditionalFormatting>
  <conditionalFormatting sqref="C318:P318">
    <cfRule type="expression" dxfId="480" priority="103">
      <formula>$B318&gt;=1</formula>
    </cfRule>
  </conditionalFormatting>
  <conditionalFormatting sqref="C319:P320">
    <cfRule type="expression" dxfId="479" priority="102">
      <formula>$B319&gt;=1</formula>
    </cfRule>
  </conditionalFormatting>
  <conditionalFormatting sqref="C312:P320">
    <cfRule type="cellIs" dxfId="478" priority="101" operator="greaterThan">
      <formula>0</formula>
    </cfRule>
  </conditionalFormatting>
  <conditionalFormatting sqref="R61:S61 R240:R242">
    <cfRule type="expression" dxfId="477" priority="100">
      <formula>Q61="Ja"</formula>
    </cfRule>
  </conditionalFormatting>
  <conditionalFormatting sqref="R111:S111">
    <cfRule type="expression" dxfId="476" priority="92">
      <formula>Q111="Ja"</formula>
    </cfRule>
  </conditionalFormatting>
  <conditionalFormatting sqref="R178:S178">
    <cfRule type="expression" dxfId="475" priority="87">
      <formula>Q178="Ja"</formula>
    </cfRule>
  </conditionalFormatting>
  <conditionalFormatting sqref="R213:S213">
    <cfRule type="expression" dxfId="474" priority="86">
      <formula>Q213="Ja"</formula>
    </cfRule>
  </conditionalFormatting>
  <conditionalFormatting sqref="R79">
    <cfRule type="expression" dxfId="473" priority="85">
      <formula>Q79="Ja"</formula>
    </cfRule>
  </conditionalFormatting>
  <conditionalFormatting sqref="R156">
    <cfRule type="expression" dxfId="472" priority="75">
      <formula>Q156="Ja"</formula>
    </cfRule>
  </conditionalFormatting>
  <conditionalFormatting sqref="R162">
    <cfRule type="expression" dxfId="471" priority="74">
      <formula>Q162="Ja"</formula>
    </cfRule>
  </conditionalFormatting>
  <conditionalFormatting sqref="R166">
    <cfRule type="expression" dxfId="470" priority="73">
      <formula>Q166="Ja"</formula>
    </cfRule>
  </conditionalFormatting>
  <conditionalFormatting sqref="R172">
    <cfRule type="expression" dxfId="469" priority="72">
      <formula>Q172="Ja"</formula>
    </cfRule>
  </conditionalFormatting>
  <conditionalFormatting sqref="R175">
    <cfRule type="expression" dxfId="468" priority="71">
      <formula>Q175="Ja"</formula>
    </cfRule>
  </conditionalFormatting>
  <conditionalFormatting sqref="R179">
    <cfRule type="expression" dxfId="467" priority="70">
      <formula>Q179="Ja"</formula>
    </cfRule>
  </conditionalFormatting>
  <conditionalFormatting sqref="R182">
    <cfRule type="expression" dxfId="466" priority="69">
      <formula>Q182="Ja"</formula>
    </cfRule>
  </conditionalFormatting>
  <conditionalFormatting sqref="R198">
    <cfRule type="expression" dxfId="465" priority="68">
      <formula>Q198="Ja"</formula>
    </cfRule>
  </conditionalFormatting>
  <conditionalFormatting sqref="R201">
    <cfRule type="expression" dxfId="464" priority="67">
      <formula>Q201="Ja"</formula>
    </cfRule>
  </conditionalFormatting>
  <conditionalFormatting sqref="R204">
    <cfRule type="expression" dxfId="463" priority="66">
      <formula>Q204="Ja"</formula>
    </cfRule>
  </conditionalFormatting>
  <conditionalFormatting sqref="R207">
    <cfRule type="expression" dxfId="462" priority="65">
      <formula>Q207="Ja"</formula>
    </cfRule>
  </conditionalFormatting>
  <conditionalFormatting sqref="R210">
    <cfRule type="expression" dxfId="461" priority="64">
      <formula>Q210="Ja"</formula>
    </cfRule>
  </conditionalFormatting>
  <conditionalFormatting sqref="R224">
    <cfRule type="expression" dxfId="460" priority="63">
      <formula>Q224="Ja"</formula>
    </cfRule>
  </conditionalFormatting>
  <conditionalFormatting sqref="R227">
    <cfRule type="expression" dxfId="459" priority="62">
      <formula>Q227="Ja"</formula>
    </cfRule>
  </conditionalFormatting>
  <conditionalFormatting sqref="R237">
    <cfRule type="expression" dxfId="458" priority="61">
      <formula>Q237="Ja"</formula>
    </cfRule>
  </conditionalFormatting>
  <conditionalFormatting sqref="R245">
    <cfRule type="expression" dxfId="457" priority="59">
      <formula>Q245="Ja"</formula>
    </cfRule>
  </conditionalFormatting>
  <conditionalFormatting sqref="R248">
    <cfRule type="expression" dxfId="456" priority="58">
      <formula>Q248="Ja"</formula>
    </cfRule>
  </conditionalFormatting>
  <conditionalFormatting sqref="R251">
    <cfRule type="expression" dxfId="455" priority="57">
      <formula>Q251="Ja"</formula>
    </cfRule>
  </conditionalFormatting>
  <conditionalFormatting sqref="R256">
    <cfRule type="expression" dxfId="454" priority="56">
      <formula>Q256="Ja"</formula>
    </cfRule>
  </conditionalFormatting>
  <conditionalFormatting sqref="R259">
    <cfRule type="expression" dxfId="453" priority="55">
      <formula>Q259="Ja"</formula>
    </cfRule>
  </conditionalFormatting>
  <conditionalFormatting sqref="R263">
    <cfRule type="expression" dxfId="452" priority="54">
      <formula>Q263="Ja"</formula>
    </cfRule>
  </conditionalFormatting>
  <conditionalFormatting sqref="R266">
    <cfRule type="expression" dxfId="451" priority="53">
      <formula>Q266="Ja"</formula>
    </cfRule>
  </conditionalFormatting>
  <conditionalFormatting sqref="R269">
    <cfRule type="expression" dxfId="450" priority="52">
      <formula>Q269="Ja"</formula>
    </cfRule>
  </conditionalFormatting>
  <conditionalFormatting sqref="R77:S78">
    <cfRule type="expression" dxfId="449" priority="51">
      <formula>Q77="ja"</formula>
    </cfRule>
  </conditionalFormatting>
  <conditionalFormatting sqref="R105:S106">
    <cfRule type="expression" dxfId="448" priority="47">
      <formula>Q105="ja"</formula>
    </cfRule>
  </conditionalFormatting>
  <conditionalFormatting sqref="R107">
    <cfRule type="expression" dxfId="447" priority="46">
      <formula>Q107="ja"</formula>
    </cfRule>
  </conditionalFormatting>
  <conditionalFormatting sqref="R143">
    <cfRule type="expression" dxfId="446" priority="43">
      <formula>Q143="Ja"</formula>
    </cfRule>
  </conditionalFormatting>
  <conditionalFormatting sqref="R149">
    <cfRule type="expression" dxfId="445" priority="42">
      <formula>Q149="Ja"</formula>
    </cfRule>
  </conditionalFormatting>
  <conditionalFormatting sqref="R193:S196">
    <cfRule type="expression" dxfId="444" priority="41">
      <formula>Q193="ja"</formula>
    </cfRule>
  </conditionalFormatting>
  <conditionalFormatting sqref="R215">
    <cfRule type="expression" dxfId="443" priority="40">
      <formula>Q215="Ja"</formula>
    </cfRule>
  </conditionalFormatting>
  <conditionalFormatting sqref="R230:R231">
    <cfRule type="expression" dxfId="442" priority="39">
      <formula>Q230="Ja"</formula>
    </cfRule>
  </conditionalFormatting>
  <conditionalFormatting sqref="B320">
    <cfRule type="cellIs" dxfId="441" priority="37" operator="greaterThan">
      <formula>0</formula>
    </cfRule>
  </conditionalFormatting>
  <conditionalFormatting sqref="F37">
    <cfRule type="expression" dxfId="440" priority="687">
      <formula>(($H$9+$H$10+$L$9+$L$10+$P$9+$P$10)&gt;0)</formula>
    </cfRule>
  </conditionalFormatting>
  <conditionalFormatting sqref="I57:K59">
    <cfRule type="expression" dxfId="439" priority="32">
      <formula>$B$57=$T$17</formula>
    </cfRule>
  </conditionalFormatting>
  <conditionalFormatting sqref="I76:K76">
    <cfRule type="expression" dxfId="438" priority="30">
      <formula>AND($B$57=$T$17,$G$104&gt;0)</formula>
    </cfRule>
  </conditionalFormatting>
  <conditionalFormatting sqref="I104:K104">
    <cfRule type="expression" dxfId="437" priority="12">
      <formula>$B$101=$T$16</formula>
    </cfRule>
    <cfRule type="expression" dxfId="436" priority="29">
      <formula>AND($B$101=$T$18,$G$132&gt;0)</formula>
    </cfRule>
  </conditionalFormatting>
  <conditionalFormatting sqref="I148:K148">
    <cfRule type="expression" dxfId="435" priority="25">
      <formula>AND($B$129=$T$19,$H$143="ja")</formula>
    </cfRule>
  </conditionalFormatting>
  <conditionalFormatting sqref="I155:K155">
    <cfRule type="expression" dxfId="434" priority="24">
      <formula>AND($B$129=$T$19,$H$149="ja")</formula>
    </cfRule>
  </conditionalFormatting>
  <conditionalFormatting sqref="I159:K159">
    <cfRule type="expression" dxfId="433" priority="23">
      <formula>AND($B$129=$T$19,$H$156="ja")</formula>
    </cfRule>
  </conditionalFormatting>
  <conditionalFormatting sqref="I161:K161">
    <cfRule type="expression" dxfId="432" priority="22">
      <formula>AND($B$129=$T$19,$H$160="ja")</formula>
    </cfRule>
  </conditionalFormatting>
  <conditionalFormatting sqref="I165:K165">
    <cfRule type="expression" dxfId="431" priority="21">
      <formula>AND($B$129=$T$19,$H$162="ja")</formula>
    </cfRule>
  </conditionalFormatting>
  <conditionalFormatting sqref="I170:K170">
    <cfRule type="expression" dxfId="430" priority="20">
      <formula>AND($B$129=$T$19,$H$166="ja")</formula>
    </cfRule>
  </conditionalFormatting>
  <conditionalFormatting sqref="R160:S161">
    <cfRule type="expression" dxfId="429" priority="19">
      <formula>Q160="ja"</formula>
    </cfRule>
  </conditionalFormatting>
  <conditionalFormatting sqref="I101:K103">
    <cfRule type="expression" dxfId="428" priority="15">
      <formula>$I$101=0</formula>
    </cfRule>
  </conditionalFormatting>
  <conditionalFormatting sqref="I129:K131">
    <cfRule type="expression" dxfId="427" priority="14">
      <formula>$I$101=0</formula>
    </cfRule>
  </conditionalFormatting>
  <conditionalFormatting sqref="I132:K132 I148:K148 I155:K155 I159:K159 I161:K161 I165:K165 I170:K171 I197:K197 I214:K214 I262:K262">
    <cfRule type="expression" dxfId="426" priority="13">
      <formula>$B$129=$T$16</formula>
    </cfRule>
  </conditionalFormatting>
  <conditionalFormatting sqref="I104:K104 I60:K60 I76:K76">
    <cfRule type="expression" dxfId="425" priority="11">
      <formula>$B$57=$T$16</formula>
    </cfRule>
  </conditionalFormatting>
  <conditionalFormatting sqref="I60:K60">
    <cfRule type="expression" dxfId="424" priority="688">
      <formula>AND($B$57=$T$17,$G$76&gt;0)</formula>
    </cfRule>
  </conditionalFormatting>
  <conditionalFormatting sqref="I132:K132">
    <cfRule type="expression" dxfId="423" priority="689">
      <formula>AND($B$129=$T$19,$G$142&gt;0)</formula>
    </cfRule>
  </conditionalFormatting>
  <conditionalFormatting sqref="I171:K171">
    <cfRule type="expression" dxfId="422" priority="690">
      <formula>AND($B$129=$T$19,$G$197&gt;0)</formula>
    </cfRule>
  </conditionalFormatting>
  <conditionalFormatting sqref="I197:K197">
    <cfRule type="expression" dxfId="421" priority="691">
      <formula>AND($B$129=$T$19,$G$214&gt;0)</formula>
    </cfRule>
  </conditionalFormatting>
  <conditionalFormatting sqref="I262:K262">
    <cfRule type="expression" dxfId="420" priority="715">
      <formula>AND($B$129=$T$19,F272&gt;0)</formula>
    </cfRule>
  </conditionalFormatting>
  <conditionalFormatting sqref="I214:K214">
    <cfRule type="expression" dxfId="419" priority="725">
      <formula>AND($B$129=$T$19,$G$262&gt;0)</formula>
    </cfRule>
  </conditionalFormatting>
  <conditionalFormatting sqref="F10:G10">
    <cfRule type="expression" priority="736">
      <formula>CELL("Schutz",B1)=0</formula>
    </cfRule>
  </conditionalFormatting>
  <conditionalFormatting sqref="T105:T128">
    <cfRule type="expression" dxfId="418" priority="7">
      <formula>$T$105="ja"</formula>
    </cfRule>
  </conditionalFormatting>
  <conditionalFormatting sqref="R62:S62">
    <cfRule type="expression" dxfId="417" priority="6">
      <formula>Q62="Ja"</formula>
    </cfRule>
  </conditionalFormatting>
  <conditionalFormatting sqref="R63:S63">
    <cfRule type="expression" dxfId="416" priority="5">
      <formula>Q63="Ja"</formula>
    </cfRule>
  </conditionalFormatting>
  <conditionalFormatting sqref="R110:S110">
    <cfRule type="expression" dxfId="415" priority="2">
      <formula>Q110="Ja"</formula>
    </cfRule>
  </conditionalFormatting>
  <conditionalFormatting sqref="R112">
    <cfRule type="expression" dxfId="414" priority="1">
      <formula>Q112="ja"</formula>
    </cfRule>
  </conditionalFormatting>
  <dataValidations count="4">
    <dataValidation type="list" allowBlank="1" showInputMessage="1" showErrorMessage="1" sqref="F5:Q5" xr:uid="{A9C97EE6-E29C-4292-BDDC-0F09B7554DB0}">
      <formula1>$V$5:$V$6</formula1>
    </dataValidation>
    <dataValidation type="list" allowBlank="1" showInputMessage="1" showErrorMessage="1" sqref="F28:Q28" xr:uid="{330C98D1-7962-4034-A4E8-7A85B15665AE}">
      <formula1>$V$28:$V$32</formula1>
    </dataValidation>
    <dataValidation type="list" allowBlank="1" showInputMessage="1" showErrorMessage="1" sqref="H105:H128 H198:H213 H172:H196 H77:H79 H133:H141 H263:H271 H215 H223:H231 H233:H235 H258:H261 H64 H61 H66 H69 H72:H73 H98 H92 H95 H90 H86 H84 H81 H143 H149:H160 H162:H170 H238:H254" xr:uid="{4F85FA74-7FB4-41C9-BDCB-BABA8C1B86A7}">
      <formula1>$V$48:$V$51</formula1>
    </dataValidation>
    <dataValidation type="list" allowBlank="1" showInputMessage="1" showErrorMessage="1" sqref="Q160 Q79 Q230:Q231 Q215 Q269 Q266 Q263 Q259 Q256 Q251 Q248 Q245 Q240:Q242 Q237 Q227 Q224 Q210 Q207 Q204 Q201 Q198 Q193:Q195 Q182 Q175 Q172 Q213 Q178:Q179 Q162 Q166 Q156 Q149 Q143 Q115:Q128 Q77 Q107 Q105 Q82:Q99 Q61:Q74 Q110:Q112 Q133:Q141" xr:uid="{2509CE97-85F2-4C82-A054-9309D07E7DD5}">
      <formula1>$V$48:$V$49</formula1>
    </dataValidation>
  </dataValidations>
  <pageMargins left="0.23622047244094491" right="0.23622047244094491" top="0" bottom="0" header="0.31496062992125984" footer="0"/>
  <pageSetup paperSize="9" scale="50" fitToHeight="5" orientation="portrait" r:id="rId1"/>
  <rowBreaks count="3" manualBreakCount="3">
    <brk id="94" max="16383" man="1"/>
    <brk id="196" max="16383" man="1"/>
    <brk id="293" max="16383" man="1"/>
  </rowBreaks>
  <ignoredErrors>
    <ignoredError sqref="J9:J10 N9:N10 L19 P19:Q19 G10 P22:Q22 Q20 G9" unlockedFormula="1"/>
    <ignoredError sqref="W214:X214"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'Berechnung - Hochbau'!$H$52:$H$56</xm:f>
          </x14:formula1>
          <xm:sqref>F29</xm:sqref>
        </x14:dataValidation>
        <x14:dataValidation type="list" allowBlank="1" showInputMessage="1" showErrorMessage="1" xr:uid="{00000000-0002-0000-0100-000005000000}">
          <x14:formula1>
            <xm:f>'Berechnung - Hochbau'!$B$109:$B$112</xm:f>
          </x14:formula1>
          <xm:sqref>R5:S7 W5:X7</xm:sqref>
        </x14:dataValidation>
        <x14:dataValidation type="list" allowBlank="1" showInputMessage="1" showErrorMessage="1" xr:uid="{0EDB7030-691E-485E-82C9-4F4A496D92FF}">
          <x14:formula1>
            <xm:f>'Berechnung - Hochbau'!$B$131:$B$140</xm:f>
          </x14:formula1>
          <xm:sqref>U61:U271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00B050"/>
  </sheetPr>
  <dimension ref="A2:XFD606"/>
  <sheetViews>
    <sheetView workbookViewId="0"/>
  </sheetViews>
  <sheetFormatPr baseColWidth="10" defaultColWidth="11.44140625" defaultRowHeight="13.9" x14ac:dyDescent="0.25"/>
  <cols>
    <col min="1" max="1" width="3.33203125" style="73" customWidth="1"/>
    <col min="2" max="2" width="30.44140625" style="73" customWidth="1"/>
    <col min="3" max="3" width="14.109375" style="73" bestFit="1" customWidth="1"/>
    <col min="4" max="5" width="15.6640625" style="73" customWidth="1"/>
    <col min="6" max="6" width="11.6640625" style="73" bestFit="1" customWidth="1"/>
    <col min="7" max="7" width="17" style="73" customWidth="1"/>
    <col min="8" max="8" width="15.6640625" style="73" customWidth="1"/>
    <col min="9" max="9" width="15.88671875" style="73" bestFit="1" customWidth="1"/>
    <col min="10" max="11" width="15.6640625" style="73" customWidth="1"/>
    <col min="12" max="12" width="13" style="73" bestFit="1" customWidth="1"/>
    <col min="13" max="13" width="18.6640625" style="73" customWidth="1"/>
    <col min="14" max="14" width="15.6640625" style="73" customWidth="1"/>
    <col min="15" max="15" width="11.6640625" style="73" bestFit="1" customWidth="1"/>
    <col min="16" max="17" width="15.6640625" style="73" customWidth="1"/>
    <col min="18" max="19" width="11.44140625" style="73"/>
    <col min="20" max="20" width="49" style="73" bestFit="1" customWidth="1"/>
    <col min="21" max="21" width="27.44140625" style="73" bestFit="1" customWidth="1"/>
    <col min="22" max="22" width="98.88671875" style="73" customWidth="1"/>
    <col min="23" max="16384" width="11.44140625" style="73"/>
  </cols>
  <sheetData>
    <row r="2" spans="1:17" x14ac:dyDescent="0.25">
      <c r="B2" s="383" t="s">
        <v>320</v>
      </c>
    </row>
    <row r="3" spans="1:17" ht="14.55" thickBot="1" x14ac:dyDescent="0.3"/>
    <row r="4" spans="1:17" ht="14.55" x14ac:dyDescent="0.25">
      <c r="A4" s="465"/>
      <c r="B4" s="1195" t="s">
        <v>321</v>
      </c>
      <c r="C4" s="390"/>
      <c r="D4" s="1200" t="s">
        <v>322</v>
      </c>
      <c r="E4" s="1201"/>
      <c r="F4" s="390"/>
      <c r="G4" s="1200" t="s">
        <v>323</v>
      </c>
      <c r="H4" s="1201"/>
      <c r="I4" s="390"/>
      <c r="J4" s="1200" t="s">
        <v>324</v>
      </c>
      <c r="K4" s="1201"/>
      <c r="L4" s="390"/>
      <c r="M4" s="1200" t="s">
        <v>325</v>
      </c>
      <c r="N4" s="1201"/>
      <c r="O4" s="390"/>
      <c r="P4" s="1200" t="s">
        <v>326</v>
      </c>
      <c r="Q4" s="1201"/>
    </row>
    <row r="5" spans="1:17" ht="14.55" x14ac:dyDescent="0.25">
      <c r="A5" s="465"/>
      <c r="B5" s="1196"/>
      <c r="C5" s="390"/>
      <c r="D5" s="1202" t="s">
        <v>327</v>
      </c>
      <c r="E5" s="1203"/>
      <c r="F5" s="390"/>
      <c r="G5" s="1202" t="s">
        <v>328</v>
      </c>
      <c r="H5" s="1203"/>
      <c r="I5" s="390"/>
      <c r="J5" s="1202" t="s">
        <v>329</v>
      </c>
      <c r="K5" s="1203"/>
      <c r="L5" s="390"/>
      <c r="M5" s="1202" t="s">
        <v>330</v>
      </c>
      <c r="N5" s="1203"/>
      <c r="O5" s="390"/>
      <c r="P5" s="1202" t="s">
        <v>331</v>
      </c>
      <c r="Q5" s="1203"/>
    </row>
    <row r="6" spans="1:17" ht="14.55" x14ac:dyDescent="0.25">
      <c r="A6" s="465"/>
      <c r="B6" s="1196"/>
      <c r="C6" s="390"/>
      <c r="D6" s="388" t="s">
        <v>332</v>
      </c>
      <c r="E6" s="389" t="s">
        <v>333</v>
      </c>
      <c r="F6" s="390"/>
      <c r="G6" s="388" t="s">
        <v>332</v>
      </c>
      <c r="H6" s="389" t="s">
        <v>333</v>
      </c>
      <c r="I6" s="390"/>
      <c r="J6" s="388" t="s">
        <v>332</v>
      </c>
      <c r="K6" s="389" t="s">
        <v>333</v>
      </c>
      <c r="L6" s="390"/>
      <c r="M6" s="388" t="s">
        <v>332</v>
      </c>
      <c r="N6" s="389" t="s">
        <v>333</v>
      </c>
      <c r="O6" s="390"/>
      <c r="P6" s="388" t="s">
        <v>332</v>
      </c>
      <c r="Q6" s="389" t="s">
        <v>333</v>
      </c>
    </row>
    <row r="7" spans="1:17" ht="15.2" thickBot="1" x14ac:dyDescent="0.3">
      <c r="A7" s="465"/>
      <c r="B7" s="1197"/>
      <c r="C7" s="390"/>
      <c r="D7" s="1198" t="s">
        <v>3</v>
      </c>
      <c r="E7" s="1199"/>
      <c r="F7" s="390"/>
      <c r="G7" s="1198" t="s">
        <v>3</v>
      </c>
      <c r="H7" s="1199"/>
      <c r="I7" s="390"/>
      <c r="J7" s="1198" t="s">
        <v>3</v>
      </c>
      <c r="K7" s="1199"/>
      <c r="L7" s="390"/>
      <c r="M7" s="1198" t="s">
        <v>3</v>
      </c>
      <c r="N7" s="1199"/>
      <c r="O7" s="390"/>
      <c r="P7" s="1193" t="s">
        <v>3</v>
      </c>
      <c r="Q7" s="1194"/>
    </row>
    <row r="8" spans="1:17" ht="14.55" x14ac:dyDescent="0.25">
      <c r="A8" s="465"/>
      <c r="B8" s="519">
        <v>25000</v>
      </c>
      <c r="C8" s="398"/>
      <c r="D8" s="399">
        <v>3120</v>
      </c>
      <c r="E8" s="400">
        <v>3657</v>
      </c>
      <c r="F8" s="398"/>
      <c r="G8" s="399">
        <v>3657</v>
      </c>
      <c r="H8" s="400">
        <v>4339</v>
      </c>
      <c r="I8" s="398"/>
      <c r="J8" s="399">
        <v>4339</v>
      </c>
      <c r="K8" s="400">
        <v>5412</v>
      </c>
      <c r="L8" s="398"/>
      <c r="M8" s="399">
        <v>5412</v>
      </c>
      <c r="N8" s="400">
        <v>6094</v>
      </c>
      <c r="O8" s="398"/>
      <c r="P8" s="399">
        <v>6094</v>
      </c>
      <c r="Q8" s="400">
        <v>6631</v>
      </c>
    </row>
    <row r="9" spans="1:17" ht="14.55" x14ac:dyDescent="0.25">
      <c r="A9" s="465"/>
      <c r="B9" s="404">
        <v>35000</v>
      </c>
      <c r="C9" s="398"/>
      <c r="D9" s="402">
        <v>4217</v>
      </c>
      <c r="E9" s="403">
        <v>4942</v>
      </c>
      <c r="F9" s="398"/>
      <c r="G9" s="402">
        <v>4942</v>
      </c>
      <c r="H9" s="403">
        <v>5865</v>
      </c>
      <c r="I9" s="398"/>
      <c r="J9" s="402">
        <v>5865</v>
      </c>
      <c r="K9" s="403">
        <v>7315</v>
      </c>
      <c r="L9" s="398"/>
      <c r="M9" s="402">
        <v>7315</v>
      </c>
      <c r="N9" s="403">
        <v>8237</v>
      </c>
      <c r="O9" s="398"/>
      <c r="P9" s="402">
        <v>8237</v>
      </c>
      <c r="Q9" s="403">
        <v>8962</v>
      </c>
    </row>
    <row r="10" spans="1:17" ht="14.55" x14ac:dyDescent="0.25">
      <c r="A10" s="465"/>
      <c r="B10" s="404">
        <v>50000</v>
      </c>
      <c r="C10" s="398"/>
      <c r="D10" s="402">
        <v>5804</v>
      </c>
      <c r="E10" s="403">
        <v>6801</v>
      </c>
      <c r="F10" s="398"/>
      <c r="G10" s="402">
        <v>6801</v>
      </c>
      <c r="H10" s="403">
        <v>8071</v>
      </c>
      <c r="I10" s="398"/>
      <c r="J10" s="402">
        <v>8071</v>
      </c>
      <c r="K10" s="403">
        <v>10066</v>
      </c>
      <c r="L10" s="398"/>
      <c r="M10" s="402">
        <v>10066</v>
      </c>
      <c r="N10" s="403">
        <v>11336</v>
      </c>
      <c r="O10" s="398"/>
      <c r="P10" s="402">
        <v>11336</v>
      </c>
      <c r="Q10" s="403">
        <v>12333</v>
      </c>
    </row>
    <row r="11" spans="1:17" ht="14.55" x14ac:dyDescent="0.25">
      <c r="A11" s="465"/>
      <c r="B11" s="404">
        <v>75000</v>
      </c>
      <c r="C11" s="398"/>
      <c r="D11" s="402">
        <v>8342</v>
      </c>
      <c r="E11" s="403">
        <v>9776</v>
      </c>
      <c r="F11" s="398"/>
      <c r="G11" s="402">
        <v>9776</v>
      </c>
      <c r="H11" s="403">
        <v>11601</v>
      </c>
      <c r="I11" s="398"/>
      <c r="J11" s="402">
        <v>11601</v>
      </c>
      <c r="K11" s="403">
        <v>14469</v>
      </c>
      <c r="L11" s="398"/>
      <c r="M11" s="402">
        <v>14469</v>
      </c>
      <c r="N11" s="403">
        <v>16293</v>
      </c>
      <c r="O11" s="398"/>
      <c r="P11" s="402">
        <v>16293</v>
      </c>
      <c r="Q11" s="403">
        <v>17727</v>
      </c>
    </row>
    <row r="12" spans="1:17" ht="14.55" x14ac:dyDescent="0.25">
      <c r="A12" s="465"/>
      <c r="B12" s="404">
        <v>100000</v>
      </c>
      <c r="C12" s="398"/>
      <c r="D12" s="402">
        <v>10790</v>
      </c>
      <c r="E12" s="403">
        <v>12644</v>
      </c>
      <c r="F12" s="398"/>
      <c r="G12" s="402">
        <v>12644</v>
      </c>
      <c r="H12" s="403">
        <v>15005</v>
      </c>
      <c r="I12" s="398"/>
      <c r="J12" s="402">
        <v>15005</v>
      </c>
      <c r="K12" s="403">
        <v>18713</v>
      </c>
      <c r="L12" s="398"/>
      <c r="M12" s="402">
        <v>18713</v>
      </c>
      <c r="N12" s="403">
        <v>21074</v>
      </c>
      <c r="O12" s="398"/>
      <c r="P12" s="402">
        <v>21074</v>
      </c>
      <c r="Q12" s="403">
        <v>22928</v>
      </c>
    </row>
    <row r="13" spans="1:17" ht="14.55" x14ac:dyDescent="0.25">
      <c r="A13" s="465"/>
      <c r="B13" s="404">
        <v>150000</v>
      </c>
      <c r="C13" s="398"/>
      <c r="D13" s="402">
        <v>15500</v>
      </c>
      <c r="E13" s="403">
        <v>18164</v>
      </c>
      <c r="F13" s="398"/>
      <c r="G13" s="402">
        <v>18164</v>
      </c>
      <c r="H13" s="403">
        <v>21555</v>
      </c>
      <c r="I13" s="398"/>
      <c r="J13" s="402">
        <v>21555</v>
      </c>
      <c r="K13" s="403">
        <v>26883</v>
      </c>
      <c r="L13" s="398"/>
      <c r="M13" s="402">
        <v>26883</v>
      </c>
      <c r="N13" s="403">
        <v>30274</v>
      </c>
      <c r="O13" s="398"/>
      <c r="P13" s="402">
        <v>30274</v>
      </c>
      <c r="Q13" s="403">
        <v>32938</v>
      </c>
    </row>
    <row r="14" spans="1:17" ht="14.55" x14ac:dyDescent="0.25">
      <c r="A14" s="465"/>
      <c r="B14" s="404">
        <v>200000</v>
      </c>
      <c r="C14" s="398"/>
      <c r="D14" s="402">
        <v>20037</v>
      </c>
      <c r="E14" s="403">
        <v>23480</v>
      </c>
      <c r="F14" s="398"/>
      <c r="G14" s="402">
        <v>23480</v>
      </c>
      <c r="H14" s="403">
        <v>27863</v>
      </c>
      <c r="I14" s="398"/>
      <c r="J14" s="402">
        <v>27863</v>
      </c>
      <c r="K14" s="403">
        <v>34751</v>
      </c>
      <c r="L14" s="398"/>
      <c r="M14" s="402">
        <v>34751</v>
      </c>
      <c r="N14" s="403">
        <v>39134</v>
      </c>
      <c r="O14" s="398"/>
      <c r="P14" s="402">
        <v>39134</v>
      </c>
      <c r="Q14" s="403">
        <v>42578</v>
      </c>
    </row>
    <row r="15" spans="1:17" ht="14.55" x14ac:dyDescent="0.25">
      <c r="A15" s="465"/>
      <c r="B15" s="404">
        <v>300000</v>
      </c>
      <c r="C15" s="398"/>
      <c r="D15" s="402">
        <v>28750</v>
      </c>
      <c r="E15" s="403">
        <v>33692</v>
      </c>
      <c r="F15" s="398"/>
      <c r="G15" s="402">
        <v>33692</v>
      </c>
      <c r="H15" s="403">
        <v>39981</v>
      </c>
      <c r="I15" s="398"/>
      <c r="J15" s="402">
        <v>39981</v>
      </c>
      <c r="K15" s="403">
        <v>49864</v>
      </c>
      <c r="L15" s="398"/>
      <c r="M15" s="402">
        <v>49864</v>
      </c>
      <c r="N15" s="403">
        <v>56153</v>
      </c>
      <c r="O15" s="398"/>
      <c r="P15" s="402">
        <v>56153</v>
      </c>
      <c r="Q15" s="403">
        <v>61095</v>
      </c>
    </row>
    <row r="16" spans="1:17" ht="14.55" x14ac:dyDescent="0.25">
      <c r="A16" s="465"/>
      <c r="B16" s="404">
        <v>500000</v>
      </c>
      <c r="C16" s="398"/>
      <c r="D16" s="402">
        <v>45232</v>
      </c>
      <c r="E16" s="403">
        <v>53006</v>
      </c>
      <c r="F16" s="398"/>
      <c r="G16" s="402">
        <v>53006</v>
      </c>
      <c r="H16" s="403">
        <v>62900</v>
      </c>
      <c r="I16" s="398"/>
      <c r="J16" s="402">
        <v>62900</v>
      </c>
      <c r="K16" s="403">
        <v>78449</v>
      </c>
      <c r="L16" s="398"/>
      <c r="M16" s="402">
        <v>78449</v>
      </c>
      <c r="N16" s="403">
        <v>88343</v>
      </c>
      <c r="O16" s="398"/>
      <c r="P16" s="402">
        <v>88343</v>
      </c>
      <c r="Q16" s="403">
        <v>96118</v>
      </c>
    </row>
    <row r="17" spans="1:19" ht="14.55" x14ac:dyDescent="0.25">
      <c r="A17" s="465"/>
      <c r="B17" s="404">
        <v>750000</v>
      </c>
      <c r="C17" s="398"/>
      <c r="D17" s="402">
        <v>64666</v>
      </c>
      <c r="E17" s="403">
        <v>75781</v>
      </c>
      <c r="F17" s="398"/>
      <c r="G17" s="402">
        <v>75781</v>
      </c>
      <c r="H17" s="403">
        <v>89927</v>
      </c>
      <c r="I17" s="398"/>
      <c r="J17" s="402">
        <v>89927</v>
      </c>
      <c r="K17" s="403">
        <v>112156</v>
      </c>
      <c r="L17" s="398"/>
      <c r="M17" s="402">
        <v>112156</v>
      </c>
      <c r="N17" s="403">
        <v>126301</v>
      </c>
      <c r="O17" s="398"/>
      <c r="P17" s="402">
        <v>126301</v>
      </c>
      <c r="Q17" s="403">
        <v>137416</v>
      </c>
    </row>
    <row r="18" spans="1:19" ht="14.55" x14ac:dyDescent="0.25">
      <c r="A18" s="465"/>
      <c r="B18" s="404">
        <v>1000000</v>
      </c>
      <c r="C18" s="398"/>
      <c r="D18" s="402">
        <v>83182</v>
      </c>
      <c r="E18" s="403">
        <v>97479</v>
      </c>
      <c r="F18" s="398"/>
      <c r="G18" s="402">
        <v>97479</v>
      </c>
      <c r="H18" s="403">
        <v>115675</v>
      </c>
      <c r="I18" s="398"/>
      <c r="J18" s="402">
        <v>115675</v>
      </c>
      <c r="K18" s="403">
        <v>144268</v>
      </c>
      <c r="L18" s="398"/>
      <c r="M18" s="402">
        <v>144268</v>
      </c>
      <c r="N18" s="403">
        <v>162464</v>
      </c>
      <c r="O18" s="398"/>
      <c r="P18" s="402">
        <v>162464</v>
      </c>
      <c r="Q18" s="403">
        <v>176761</v>
      </c>
    </row>
    <row r="19" spans="1:19" ht="14.55" x14ac:dyDescent="0.25">
      <c r="A19" s="465"/>
      <c r="B19" s="404">
        <v>1500000</v>
      </c>
      <c r="C19" s="398"/>
      <c r="D19" s="402">
        <v>119307</v>
      </c>
      <c r="E19" s="403">
        <v>139813</v>
      </c>
      <c r="F19" s="398"/>
      <c r="G19" s="402">
        <v>139813</v>
      </c>
      <c r="H19" s="403">
        <v>165911</v>
      </c>
      <c r="I19" s="398"/>
      <c r="J19" s="402">
        <v>165911</v>
      </c>
      <c r="K19" s="403">
        <v>206923</v>
      </c>
      <c r="L19" s="398"/>
      <c r="M19" s="402">
        <v>206923</v>
      </c>
      <c r="N19" s="403">
        <v>233022</v>
      </c>
      <c r="O19" s="398"/>
      <c r="P19" s="402">
        <v>233022</v>
      </c>
      <c r="Q19" s="403">
        <v>253527</v>
      </c>
    </row>
    <row r="20" spans="1:19" ht="14.55" x14ac:dyDescent="0.25">
      <c r="A20" s="465"/>
      <c r="B20" s="404">
        <v>2000000</v>
      </c>
      <c r="C20" s="398"/>
      <c r="D20" s="402">
        <v>153965</v>
      </c>
      <c r="E20" s="403">
        <v>180428</v>
      </c>
      <c r="F20" s="398"/>
      <c r="G20" s="402">
        <v>180428</v>
      </c>
      <c r="H20" s="403">
        <v>214108</v>
      </c>
      <c r="I20" s="398"/>
      <c r="J20" s="402">
        <v>214108</v>
      </c>
      <c r="K20" s="403">
        <v>267034</v>
      </c>
      <c r="L20" s="398"/>
      <c r="M20" s="402">
        <v>267034</v>
      </c>
      <c r="N20" s="403">
        <v>300714</v>
      </c>
      <c r="O20" s="398"/>
      <c r="P20" s="402">
        <v>300714</v>
      </c>
      <c r="Q20" s="403">
        <v>327177</v>
      </c>
    </row>
    <row r="21" spans="1:19" ht="14.55" x14ac:dyDescent="0.25">
      <c r="A21" s="465"/>
      <c r="B21" s="404">
        <v>3000000</v>
      </c>
      <c r="C21" s="398"/>
      <c r="D21" s="402">
        <v>220161</v>
      </c>
      <c r="E21" s="403">
        <v>258002</v>
      </c>
      <c r="F21" s="398"/>
      <c r="G21" s="402">
        <v>258002</v>
      </c>
      <c r="H21" s="403">
        <v>306162</v>
      </c>
      <c r="I21" s="398"/>
      <c r="J21" s="402">
        <v>306162</v>
      </c>
      <c r="K21" s="403">
        <v>381843</v>
      </c>
      <c r="L21" s="398"/>
      <c r="M21" s="402">
        <v>381843</v>
      </c>
      <c r="N21" s="403">
        <v>430003</v>
      </c>
      <c r="O21" s="398"/>
      <c r="P21" s="402">
        <v>430003</v>
      </c>
      <c r="Q21" s="403">
        <v>467843</v>
      </c>
    </row>
    <row r="22" spans="1:19" ht="14.55" x14ac:dyDescent="0.25">
      <c r="A22" s="465"/>
      <c r="B22" s="404">
        <v>5000000</v>
      </c>
      <c r="C22" s="398"/>
      <c r="D22" s="402">
        <v>343879</v>
      </c>
      <c r="E22" s="403">
        <v>402984</v>
      </c>
      <c r="F22" s="398"/>
      <c r="G22" s="402">
        <v>402984</v>
      </c>
      <c r="H22" s="403">
        <v>478207</v>
      </c>
      <c r="I22" s="398"/>
      <c r="J22" s="402">
        <v>478207</v>
      </c>
      <c r="K22" s="403">
        <v>596416</v>
      </c>
      <c r="L22" s="398"/>
      <c r="M22" s="402">
        <v>596416</v>
      </c>
      <c r="N22" s="403">
        <v>671640</v>
      </c>
      <c r="O22" s="398"/>
      <c r="P22" s="402">
        <v>671640</v>
      </c>
      <c r="Q22" s="403">
        <v>730744</v>
      </c>
    </row>
    <row r="23" spans="1:19" ht="14.55" x14ac:dyDescent="0.25">
      <c r="A23" s="465"/>
      <c r="B23" s="404">
        <v>7500000</v>
      </c>
      <c r="C23" s="398"/>
      <c r="D23" s="402">
        <v>493923</v>
      </c>
      <c r="E23" s="403">
        <v>578816</v>
      </c>
      <c r="F23" s="398"/>
      <c r="G23" s="402">
        <v>578816</v>
      </c>
      <c r="H23" s="403">
        <v>686862</v>
      </c>
      <c r="I23" s="398"/>
      <c r="J23" s="402">
        <v>686862</v>
      </c>
      <c r="K23" s="403">
        <v>856648</v>
      </c>
      <c r="L23" s="398"/>
      <c r="M23" s="402">
        <v>856648</v>
      </c>
      <c r="N23" s="403">
        <v>964694</v>
      </c>
      <c r="O23" s="398"/>
      <c r="P23" s="402">
        <v>964694</v>
      </c>
      <c r="Q23" s="403">
        <v>1049587</v>
      </c>
    </row>
    <row r="24" spans="1:19" ht="14.55" x14ac:dyDescent="0.25">
      <c r="A24" s="465"/>
      <c r="B24" s="404">
        <v>10000000</v>
      </c>
      <c r="C24" s="398"/>
      <c r="D24" s="402">
        <v>638277</v>
      </c>
      <c r="E24" s="403">
        <v>747981</v>
      </c>
      <c r="F24" s="398"/>
      <c r="G24" s="402">
        <v>747981</v>
      </c>
      <c r="H24" s="403">
        <v>887604</v>
      </c>
      <c r="I24" s="398"/>
      <c r="J24" s="402">
        <v>887604</v>
      </c>
      <c r="K24" s="403">
        <v>1107012</v>
      </c>
      <c r="L24" s="398"/>
      <c r="M24" s="402">
        <v>1107012</v>
      </c>
      <c r="N24" s="403">
        <v>1246635</v>
      </c>
      <c r="O24" s="398"/>
      <c r="P24" s="402">
        <v>1246635</v>
      </c>
      <c r="Q24" s="403">
        <v>1356339</v>
      </c>
    </row>
    <row r="25" spans="1:19" ht="14.55" x14ac:dyDescent="0.25">
      <c r="A25" s="465"/>
      <c r="B25" s="404">
        <v>15000000</v>
      </c>
      <c r="C25" s="398"/>
      <c r="D25" s="402">
        <v>915129</v>
      </c>
      <c r="E25" s="403">
        <v>1072416</v>
      </c>
      <c r="F25" s="398"/>
      <c r="G25" s="402">
        <v>1072416</v>
      </c>
      <c r="H25" s="403">
        <v>1272601</v>
      </c>
      <c r="I25" s="398"/>
      <c r="J25" s="402">
        <v>1272601</v>
      </c>
      <c r="K25" s="403">
        <v>1587176</v>
      </c>
      <c r="L25" s="398"/>
      <c r="M25" s="402">
        <v>1587176</v>
      </c>
      <c r="N25" s="403">
        <v>1787360</v>
      </c>
      <c r="O25" s="398"/>
      <c r="P25" s="402">
        <v>1787360</v>
      </c>
      <c r="Q25" s="403">
        <v>1944648</v>
      </c>
    </row>
    <row r="26" spans="1:19" ht="14.55" x14ac:dyDescent="0.25">
      <c r="A26" s="465"/>
      <c r="B26" s="404">
        <v>20000000</v>
      </c>
      <c r="C26" s="398"/>
      <c r="D26" s="402">
        <v>1180414</v>
      </c>
      <c r="E26" s="403">
        <v>1383298</v>
      </c>
      <c r="F26" s="398"/>
      <c r="G26" s="402">
        <v>1383298</v>
      </c>
      <c r="H26" s="403">
        <v>1641513</v>
      </c>
      <c r="I26" s="398"/>
      <c r="J26" s="402">
        <v>1641513</v>
      </c>
      <c r="K26" s="403">
        <v>2047281</v>
      </c>
      <c r="L26" s="398"/>
      <c r="M26" s="402">
        <v>2047281</v>
      </c>
      <c r="N26" s="403">
        <v>2305496</v>
      </c>
      <c r="O26" s="398"/>
      <c r="P26" s="402">
        <v>2305496</v>
      </c>
      <c r="Q26" s="403">
        <v>2508380</v>
      </c>
    </row>
    <row r="27" spans="1:19" ht="15.2" thickBot="1" x14ac:dyDescent="0.3">
      <c r="A27" s="465"/>
      <c r="B27" s="520">
        <v>25000000</v>
      </c>
      <c r="C27" s="521"/>
      <c r="D27" s="405">
        <v>1436874</v>
      </c>
      <c r="E27" s="406">
        <v>1683837</v>
      </c>
      <c r="F27" s="398"/>
      <c r="G27" s="405">
        <v>1683837</v>
      </c>
      <c r="H27" s="406">
        <v>1998153</v>
      </c>
      <c r="I27" s="398"/>
      <c r="J27" s="405">
        <v>1998153</v>
      </c>
      <c r="K27" s="406">
        <v>2492079</v>
      </c>
      <c r="L27" s="398"/>
      <c r="M27" s="405">
        <v>2492079</v>
      </c>
      <c r="N27" s="406">
        <v>2806395</v>
      </c>
      <c r="O27" s="398"/>
      <c r="P27" s="405">
        <v>2806395</v>
      </c>
      <c r="Q27" s="406">
        <v>3053358</v>
      </c>
    </row>
    <row r="28" spans="1:19" ht="15" customHeight="1" x14ac:dyDescent="0.25">
      <c r="A28" s="465"/>
      <c r="B28" s="409">
        <v>30000000</v>
      </c>
      <c r="C28" s="1205" t="s">
        <v>334</v>
      </c>
      <c r="D28" s="336">
        <v>1688900</v>
      </c>
      <c r="E28" s="335">
        <v>1979179</v>
      </c>
      <c r="F28" s="1205" t="s">
        <v>334</v>
      </c>
      <c r="G28" s="336">
        <f>E28</f>
        <v>1979179</v>
      </c>
      <c r="H28" s="335">
        <v>2348626</v>
      </c>
      <c r="I28" s="1205" t="s">
        <v>334</v>
      </c>
      <c r="J28" s="336">
        <f>H28</f>
        <v>2348626</v>
      </c>
      <c r="K28" s="335">
        <v>2929185</v>
      </c>
      <c r="L28" s="1205" t="s">
        <v>334</v>
      </c>
      <c r="M28" s="336">
        <f>K28</f>
        <v>2929185</v>
      </c>
      <c r="N28" s="335">
        <v>3298632</v>
      </c>
      <c r="O28" s="1205" t="s">
        <v>334</v>
      </c>
      <c r="P28" s="336">
        <f>N28</f>
        <v>3298632</v>
      </c>
      <c r="Q28" s="335">
        <v>3588912</v>
      </c>
      <c r="S28" s="522"/>
    </row>
    <row r="29" spans="1:19" ht="14.55" x14ac:dyDescent="0.25">
      <c r="A29" s="465"/>
      <c r="B29" s="518">
        <v>35000000</v>
      </c>
      <c r="C29" s="1206"/>
      <c r="D29" s="517">
        <v>1936172</v>
      </c>
      <c r="E29" s="403">
        <v>2268951</v>
      </c>
      <c r="F29" s="1206"/>
      <c r="G29" s="517">
        <f t="shared" ref="G29:G46" si="0">E29</f>
        <v>2268951</v>
      </c>
      <c r="H29" s="403">
        <v>2692489</v>
      </c>
      <c r="I29" s="1208"/>
      <c r="J29" s="517">
        <f t="shared" ref="J29:J46" si="1">H29</f>
        <v>2692489</v>
      </c>
      <c r="K29" s="403">
        <v>3358048</v>
      </c>
      <c r="L29" s="1208"/>
      <c r="M29" s="517">
        <f t="shared" ref="M29:M46" si="2">K29</f>
        <v>3358048</v>
      </c>
      <c r="N29" s="403">
        <v>3781585</v>
      </c>
      <c r="O29" s="1208"/>
      <c r="P29" s="517">
        <f>N29</f>
        <v>3781585</v>
      </c>
      <c r="Q29" s="403">
        <v>4114365</v>
      </c>
      <c r="S29" s="522"/>
    </row>
    <row r="30" spans="1:19" ht="14.55" x14ac:dyDescent="0.25">
      <c r="A30" s="465"/>
      <c r="B30" s="518">
        <v>40000000</v>
      </c>
      <c r="C30" s="1206"/>
      <c r="D30" s="517">
        <v>2179446</v>
      </c>
      <c r="E30" s="403">
        <v>2554038</v>
      </c>
      <c r="F30" s="1206"/>
      <c r="G30" s="517">
        <f t="shared" si="0"/>
        <v>2554038</v>
      </c>
      <c r="H30" s="403">
        <v>3030792</v>
      </c>
      <c r="I30" s="1208"/>
      <c r="J30" s="517">
        <f t="shared" si="1"/>
        <v>3030792</v>
      </c>
      <c r="K30" s="403">
        <v>3779977</v>
      </c>
      <c r="L30" s="1208"/>
      <c r="M30" s="517">
        <f t="shared" si="2"/>
        <v>3779977</v>
      </c>
      <c r="N30" s="403">
        <v>4256731</v>
      </c>
      <c r="O30" s="1208"/>
      <c r="P30" s="517">
        <f t="shared" ref="P30:P46" si="3">N30</f>
        <v>4256731</v>
      </c>
      <c r="Q30" s="403">
        <v>4631323</v>
      </c>
      <c r="S30" s="522"/>
    </row>
    <row r="31" spans="1:19" ht="14.55" x14ac:dyDescent="0.25">
      <c r="A31" s="465"/>
      <c r="B31" s="518">
        <v>45000000</v>
      </c>
      <c r="C31" s="1206"/>
      <c r="D31" s="517">
        <v>2419278</v>
      </c>
      <c r="E31" s="403">
        <v>2835092</v>
      </c>
      <c r="F31" s="1206"/>
      <c r="G31" s="517">
        <f t="shared" si="0"/>
        <v>2835092</v>
      </c>
      <c r="H31" s="403">
        <v>3364309</v>
      </c>
      <c r="I31" s="1208"/>
      <c r="J31" s="517">
        <f t="shared" si="1"/>
        <v>3364309</v>
      </c>
      <c r="K31" s="403">
        <v>4195936</v>
      </c>
      <c r="L31" s="1208"/>
      <c r="M31" s="517">
        <f t="shared" si="2"/>
        <v>4195936</v>
      </c>
      <c r="N31" s="403">
        <v>4725153</v>
      </c>
      <c r="O31" s="1208"/>
      <c r="P31" s="517">
        <f t="shared" si="3"/>
        <v>4725153</v>
      </c>
      <c r="Q31" s="403">
        <v>5140966</v>
      </c>
      <c r="S31" s="522"/>
    </row>
    <row r="32" spans="1:19" ht="14.55" x14ac:dyDescent="0.25">
      <c r="A32" s="465"/>
      <c r="B32" s="518">
        <v>50000000</v>
      </c>
      <c r="C32" s="1206"/>
      <c r="D32" s="517">
        <v>2656093</v>
      </c>
      <c r="E32" s="403">
        <v>3112609</v>
      </c>
      <c r="F32" s="1206"/>
      <c r="G32" s="517">
        <f t="shared" si="0"/>
        <v>3112609</v>
      </c>
      <c r="H32" s="403">
        <v>3693630</v>
      </c>
      <c r="I32" s="1208"/>
      <c r="J32" s="517">
        <f t="shared" si="1"/>
        <v>3693630</v>
      </c>
      <c r="K32" s="403">
        <v>4606662</v>
      </c>
      <c r="L32" s="1208"/>
      <c r="M32" s="517">
        <f t="shared" si="2"/>
        <v>4606662</v>
      </c>
      <c r="N32" s="403">
        <v>5187682</v>
      </c>
      <c r="O32" s="1208"/>
      <c r="P32" s="517">
        <f t="shared" si="3"/>
        <v>5187682</v>
      </c>
      <c r="Q32" s="403">
        <v>5644198</v>
      </c>
      <c r="S32" s="522"/>
    </row>
    <row r="33" spans="1:19 16384:16384" ht="14.55" x14ac:dyDescent="0.25">
      <c r="A33" s="465"/>
      <c r="B33" s="518">
        <v>60000000</v>
      </c>
      <c r="C33" s="1206"/>
      <c r="D33" s="517">
        <v>3121948</v>
      </c>
      <c r="E33" s="403">
        <v>3658533</v>
      </c>
      <c r="F33" s="1206"/>
      <c r="G33" s="517">
        <f t="shared" si="0"/>
        <v>3658533</v>
      </c>
      <c r="H33" s="403">
        <v>4341459</v>
      </c>
      <c r="I33" s="1208"/>
      <c r="J33" s="517">
        <f t="shared" si="1"/>
        <v>4341459</v>
      </c>
      <c r="K33" s="403">
        <v>5414628</v>
      </c>
      <c r="L33" s="1208"/>
      <c r="M33" s="517">
        <f t="shared" si="2"/>
        <v>5414628</v>
      </c>
      <c r="N33" s="403">
        <v>6097554</v>
      </c>
      <c r="O33" s="1208"/>
      <c r="P33" s="517">
        <f t="shared" si="3"/>
        <v>6097554</v>
      </c>
      <c r="Q33" s="403">
        <v>6634139</v>
      </c>
      <c r="S33" s="522"/>
    </row>
    <row r="34" spans="1:19 16384:16384" ht="14.55" x14ac:dyDescent="0.25">
      <c r="A34" s="465"/>
      <c r="B34" s="518">
        <v>70000000</v>
      </c>
      <c r="C34" s="1206"/>
      <c r="D34" s="517">
        <v>3579014</v>
      </c>
      <c r="E34" s="403">
        <v>4194157</v>
      </c>
      <c r="F34" s="1206"/>
      <c r="G34" s="517">
        <f t="shared" si="0"/>
        <v>4194157</v>
      </c>
      <c r="H34" s="403">
        <v>4977066</v>
      </c>
      <c r="I34" s="1208"/>
      <c r="J34" s="517">
        <f t="shared" si="1"/>
        <v>4977066</v>
      </c>
      <c r="K34" s="403">
        <v>6207352</v>
      </c>
      <c r="L34" s="1208"/>
      <c r="M34" s="517">
        <f t="shared" si="2"/>
        <v>6207352</v>
      </c>
      <c r="N34" s="403">
        <v>6990261</v>
      </c>
      <c r="O34" s="1208"/>
      <c r="P34" s="517">
        <f t="shared" si="3"/>
        <v>6990261</v>
      </c>
      <c r="Q34" s="403">
        <v>7605404</v>
      </c>
      <c r="S34" s="522"/>
    </row>
    <row r="35" spans="1:19 16384:16384" ht="14.55" x14ac:dyDescent="0.25">
      <c r="A35" s="465"/>
      <c r="B35" s="518">
        <v>80000000</v>
      </c>
      <c r="C35" s="1206"/>
      <c r="D35" s="517">
        <v>4028687</v>
      </c>
      <c r="E35" s="403">
        <v>4721118</v>
      </c>
      <c r="F35" s="1206"/>
      <c r="G35" s="517">
        <f t="shared" si="0"/>
        <v>4721118</v>
      </c>
      <c r="H35" s="403">
        <v>5602393</v>
      </c>
      <c r="I35" s="1208"/>
      <c r="J35" s="517">
        <f t="shared" si="1"/>
        <v>5602393</v>
      </c>
      <c r="K35" s="403">
        <v>6987255</v>
      </c>
      <c r="L35" s="1208"/>
      <c r="M35" s="517">
        <f t="shared" si="2"/>
        <v>6987255</v>
      </c>
      <c r="N35" s="403">
        <v>7868530</v>
      </c>
      <c r="O35" s="1208"/>
      <c r="P35" s="517">
        <f t="shared" si="3"/>
        <v>7868530</v>
      </c>
      <c r="Q35" s="403">
        <v>8560961</v>
      </c>
      <c r="S35" s="522"/>
    </row>
    <row r="36" spans="1:19 16384:16384" ht="14.55" x14ac:dyDescent="0.25">
      <c r="A36" s="465"/>
      <c r="B36" s="518">
        <v>90000000</v>
      </c>
      <c r="C36" s="1206"/>
      <c r="D36" s="517">
        <v>4471996</v>
      </c>
      <c r="E36" s="403">
        <v>5240621</v>
      </c>
      <c r="F36" s="1206"/>
      <c r="G36" s="517">
        <f t="shared" si="0"/>
        <v>5240621</v>
      </c>
      <c r="H36" s="403">
        <v>6218870</v>
      </c>
      <c r="I36" s="1208"/>
      <c r="J36" s="517">
        <f t="shared" si="1"/>
        <v>6218870</v>
      </c>
      <c r="K36" s="403">
        <v>7756119</v>
      </c>
      <c r="L36" s="1208"/>
      <c r="M36" s="517">
        <f t="shared" si="2"/>
        <v>7756119</v>
      </c>
      <c r="N36" s="403">
        <v>8734368</v>
      </c>
      <c r="O36" s="1208"/>
      <c r="P36" s="517">
        <f t="shared" si="3"/>
        <v>8734368</v>
      </c>
      <c r="Q36" s="403">
        <v>9502992</v>
      </c>
      <c r="S36" s="522"/>
    </row>
    <row r="37" spans="1:19 16384:16384" ht="14.55" x14ac:dyDescent="0.25">
      <c r="A37" s="465"/>
      <c r="B37" s="518">
        <v>100000000</v>
      </c>
      <c r="C37" s="1206"/>
      <c r="D37" s="517">
        <v>4909726</v>
      </c>
      <c r="E37" s="403">
        <v>5753585</v>
      </c>
      <c r="F37" s="1206"/>
      <c r="G37" s="517">
        <f t="shared" si="0"/>
        <v>5753585</v>
      </c>
      <c r="H37" s="403">
        <v>6827588</v>
      </c>
      <c r="I37" s="1208"/>
      <c r="J37" s="517">
        <f t="shared" si="1"/>
        <v>6827588</v>
      </c>
      <c r="K37" s="403">
        <v>8515306</v>
      </c>
      <c r="L37" s="1208"/>
      <c r="M37" s="517">
        <f t="shared" si="2"/>
        <v>8515306</v>
      </c>
      <c r="N37" s="403">
        <v>9589309</v>
      </c>
      <c r="O37" s="1208"/>
      <c r="P37" s="517">
        <f t="shared" si="3"/>
        <v>9589309</v>
      </c>
      <c r="Q37" s="403">
        <v>10433168</v>
      </c>
      <c r="S37" s="522"/>
    </row>
    <row r="38" spans="1:19 16384:16384" ht="14.55" x14ac:dyDescent="0.25">
      <c r="A38" s="465"/>
      <c r="B38" s="518">
        <v>125000000</v>
      </c>
      <c r="C38" s="1206"/>
      <c r="D38" s="517">
        <v>5983424</v>
      </c>
      <c r="E38" s="403">
        <v>7011825</v>
      </c>
      <c r="F38" s="1206"/>
      <c r="G38" s="517">
        <f t="shared" si="0"/>
        <v>7011825</v>
      </c>
      <c r="H38" s="403">
        <v>8320699</v>
      </c>
      <c r="I38" s="1208"/>
      <c r="J38" s="517">
        <f t="shared" si="1"/>
        <v>8320699</v>
      </c>
      <c r="K38" s="403">
        <v>10377501</v>
      </c>
      <c r="L38" s="1208"/>
      <c r="M38" s="517">
        <f t="shared" si="2"/>
        <v>10377501</v>
      </c>
      <c r="N38" s="403">
        <v>11686375</v>
      </c>
      <c r="O38" s="1208"/>
      <c r="P38" s="517">
        <f t="shared" si="3"/>
        <v>11686375</v>
      </c>
      <c r="Q38" s="403">
        <v>12714776</v>
      </c>
      <c r="S38" s="522"/>
    </row>
    <row r="39" spans="1:19 16384:16384" ht="14.55" x14ac:dyDescent="0.25">
      <c r="A39" s="465"/>
      <c r="B39" s="518">
        <v>150000000</v>
      </c>
      <c r="C39" s="1206"/>
      <c r="D39" s="517">
        <v>7032799</v>
      </c>
      <c r="E39" s="403">
        <v>8241561</v>
      </c>
      <c r="F39" s="1206"/>
      <c r="G39" s="517">
        <f t="shared" si="0"/>
        <v>8241561</v>
      </c>
      <c r="H39" s="403">
        <v>9779986</v>
      </c>
      <c r="I39" s="1208"/>
      <c r="J39" s="517">
        <f t="shared" si="1"/>
        <v>9779986</v>
      </c>
      <c r="K39" s="403">
        <v>12197510</v>
      </c>
      <c r="L39" s="1208"/>
      <c r="M39" s="517">
        <f t="shared" si="2"/>
        <v>12197510</v>
      </c>
      <c r="N39" s="403">
        <v>13735935</v>
      </c>
      <c r="O39" s="1208"/>
      <c r="P39" s="517">
        <f t="shared" si="3"/>
        <v>13735935</v>
      </c>
      <c r="Q39" s="403">
        <v>14944697</v>
      </c>
      <c r="S39" s="522"/>
    </row>
    <row r="40" spans="1:19 16384:16384" ht="14.55" x14ac:dyDescent="0.25">
      <c r="A40" s="465"/>
      <c r="B40" s="518">
        <v>200000000</v>
      </c>
      <c r="C40" s="1206"/>
      <c r="D40" s="517">
        <v>9075275</v>
      </c>
      <c r="E40" s="403">
        <v>10635088</v>
      </c>
      <c r="F40" s="1206"/>
      <c r="G40" s="517">
        <f t="shared" si="0"/>
        <v>10635088</v>
      </c>
      <c r="H40" s="403">
        <v>12620304</v>
      </c>
      <c r="I40" s="1208"/>
      <c r="J40" s="517">
        <f t="shared" si="1"/>
        <v>12620304</v>
      </c>
      <c r="K40" s="403">
        <v>15739930</v>
      </c>
      <c r="L40" s="1208"/>
      <c r="M40" s="517">
        <f t="shared" si="2"/>
        <v>15739930</v>
      </c>
      <c r="N40" s="403">
        <v>17725146</v>
      </c>
      <c r="O40" s="1208"/>
      <c r="P40" s="517">
        <f t="shared" si="3"/>
        <v>17725146</v>
      </c>
      <c r="Q40" s="403">
        <v>19284959</v>
      </c>
      <c r="S40" s="522"/>
    </row>
    <row r="41" spans="1:19 16384:16384" ht="14.55" x14ac:dyDescent="0.25">
      <c r="A41" s="465"/>
      <c r="B41" s="518">
        <v>250000000</v>
      </c>
      <c r="C41" s="1206"/>
      <c r="D41" s="517">
        <v>11059829</v>
      </c>
      <c r="E41" s="403">
        <v>12960737</v>
      </c>
      <c r="F41" s="1206"/>
      <c r="G41" s="517">
        <f t="shared" si="0"/>
        <v>12960737</v>
      </c>
      <c r="H41" s="403">
        <v>15380075</v>
      </c>
      <c r="I41" s="1208"/>
      <c r="J41" s="517">
        <f t="shared" si="1"/>
        <v>15380075</v>
      </c>
      <c r="K41" s="403">
        <v>19181891</v>
      </c>
      <c r="L41" s="1208"/>
      <c r="M41" s="517">
        <f t="shared" si="2"/>
        <v>19181891</v>
      </c>
      <c r="N41" s="403">
        <v>21601229</v>
      </c>
      <c r="O41" s="1208"/>
      <c r="P41" s="517">
        <f t="shared" si="3"/>
        <v>21601229</v>
      </c>
      <c r="Q41" s="403">
        <v>23502137</v>
      </c>
      <c r="S41" s="522"/>
    </row>
    <row r="42" spans="1:19 16384:16384" ht="14.55" x14ac:dyDescent="0.25">
      <c r="A42" s="465"/>
      <c r="B42" s="404">
        <v>300000000</v>
      </c>
      <c r="C42" s="1206"/>
      <c r="D42" s="517">
        <v>12999408</v>
      </c>
      <c r="E42" s="403">
        <v>15233681</v>
      </c>
      <c r="F42" s="1206"/>
      <c r="G42" s="517">
        <f t="shared" si="0"/>
        <v>15233681</v>
      </c>
      <c r="H42" s="403">
        <v>18077302</v>
      </c>
      <c r="I42" s="1208"/>
      <c r="J42" s="517">
        <f t="shared" si="1"/>
        <v>18077302</v>
      </c>
      <c r="K42" s="403">
        <v>22545848</v>
      </c>
      <c r="L42" s="1208"/>
      <c r="M42" s="517">
        <f t="shared" si="2"/>
        <v>22545848</v>
      </c>
      <c r="N42" s="403">
        <v>25389468</v>
      </c>
      <c r="O42" s="1208"/>
      <c r="P42" s="517">
        <f t="shared" si="3"/>
        <v>25389468</v>
      </c>
      <c r="Q42" s="403">
        <v>27623742</v>
      </c>
      <c r="S42" s="522"/>
    </row>
    <row r="43" spans="1:19 16384:16384" ht="14.55" x14ac:dyDescent="0.25">
      <c r="A43" s="465"/>
      <c r="B43" s="404">
        <v>350000000</v>
      </c>
      <c r="C43" s="1206"/>
      <c r="D43" s="517">
        <v>14902362</v>
      </c>
      <c r="E43" s="403">
        <v>17463706</v>
      </c>
      <c r="F43" s="1206"/>
      <c r="G43" s="517">
        <f t="shared" si="0"/>
        <v>17463706</v>
      </c>
      <c r="H43" s="403">
        <v>20723598</v>
      </c>
      <c r="I43" s="1208"/>
      <c r="J43" s="517">
        <f t="shared" si="1"/>
        <v>20723598</v>
      </c>
      <c r="K43" s="403">
        <v>25846285</v>
      </c>
      <c r="L43" s="1208"/>
      <c r="M43" s="517">
        <f t="shared" si="2"/>
        <v>25846285</v>
      </c>
      <c r="N43" s="403">
        <v>29106176</v>
      </c>
      <c r="O43" s="1208"/>
      <c r="P43" s="517">
        <f t="shared" si="3"/>
        <v>29106176</v>
      </c>
      <c r="Q43" s="403">
        <v>31667520</v>
      </c>
      <c r="S43" s="522"/>
    </row>
    <row r="44" spans="1:19 16384:16384" ht="14.55" x14ac:dyDescent="0.25">
      <c r="A44" s="465"/>
      <c r="B44" s="404">
        <v>400000000</v>
      </c>
      <c r="C44" s="1206"/>
      <c r="D44" s="337">
        <v>16774513</v>
      </c>
      <c r="E44" s="339">
        <v>19657632</v>
      </c>
      <c r="F44" s="1206"/>
      <c r="G44" s="337">
        <f t="shared" si="0"/>
        <v>19657632</v>
      </c>
      <c r="H44" s="339">
        <v>23327057</v>
      </c>
      <c r="I44" s="1208"/>
      <c r="J44" s="337">
        <f t="shared" si="1"/>
        <v>23327057</v>
      </c>
      <c r="K44" s="339">
        <v>29093296</v>
      </c>
      <c r="L44" s="1208"/>
      <c r="M44" s="337">
        <f t="shared" si="2"/>
        <v>29093296</v>
      </c>
      <c r="N44" s="339">
        <v>32762720</v>
      </c>
      <c r="O44" s="1208"/>
      <c r="P44" s="337">
        <f t="shared" si="3"/>
        <v>32762720</v>
      </c>
      <c r="Q44" s="339">
        <v>35645840</v>
      </c>
      <c r="S44" s="522"/>
    </row>
    <row r="45" spans="1:19 16384:16384" ht="14.55" x14ac:dyDescent="0.25">
      <c r="A45" s="465"/>
      <c r="B45" s="404">
        <v>450000000</v>
      </c>
      <c r="C45" s="1206"/>
      <c r="D45" s="337">
        <v>18620139</v>
      </c>
      <c r="E45" s="339">
        <v>21820476</v>
      </c>
      <c r="F45" s="1206"/>
      <c r="G45" s="337">
        <f t="shared" si="0"/>
        <v>21820476</v>
      </c>
      <c r="H45" s="339">
        <v>25893631</v>
      </c>
      <c r="I45" s="1208"/>
      <c r="J45" s="337">
        <f t="shared" si="1"/>
        <v>25893631</v>
      </c>
      <c r="K45" s="339">
        <v>32294304</v>
      </c>
      <c r="L45" s="1208"/>
      <c r="M45" s="337">
        <f t="shared" si="2"/>
        <v>32294304</v>
      </c>
      <c r="N45" s="339">
        <v>36367460</v>
      </c>
      <c r="O45" s="1208"/>
      <c r="P45" s="337">
        <f t="shared" si="3"/>
        <v>36367460</v>
      </c>
      <c r="Q45" s="339">
        <v>39567796</v>
      </c>
      <c r="S45" s="522"/>
    </row>
    <row r="46" spans="1:19 16384:16384" ht="15.2" thickBot="1" x14ac:dyDescent="0.3">
      <c r="A46" s="465"/>
      <c r="B46" s="408">
        <v>500000000</v>
      </c>
      <c r="C46" s="1207"/>
      <c r="D46" s="338">
        <v>20442516</v>
      </c>
      <c r="E46" s="340">
        <v>23956074</v>
      </c>
      <c r="F46" s="1207"/>
      <c r="G46" s="338">
        <f t="shared" si="0"/>
        <v>23956074</v>
      </c>
      <c r="H46" s="340">
        <v>28427874</v>
      </c>
      <c r="I46" s="1209"/>
      <c r="J46" s="338">
        <f t="shared" si="1"/>
        <v>28427874</v>
      </c>
      <c r="K46" s="340">
        <v>35454989</v>
      </c>
      <c r="L46" s="1209"/>
      <c r="M46" s="338">
        <f t="shared" si="2"/>
        <v>35454989</v>
      </c>
      <c r="N46" s="340">
        <v>39926790</v>
      </c>
      <c r="O46" s="1209"/>
      <c r="P46" s="338">
        <f t="shared" si="3"/>
        <v>39926790</v>
      </c>
      <c r="Q46" s="340">
        <v>43440347</v>
      </c>
      <c r="S46" s="522"/>
    </row>
    <row r="47" spans="1:19 16384:16384" ht="14.55" x14ac:dyDescent="0.25">
      <c r="A47" s="74"/>
      <c r="B47" s="460"/>
      <c r="C47" s="74"/>
      <c r="D47" s="460"/>
      <c r="E47" s="460"/>
      <c r="F47" s="74"/>
      <c r="G47" s="460"/>
      <c r="H47" s="460"/>
      <c r="I47" s="74"/>
      <c r="J47" s="460"/>
      <c r="K47" s="460"/>
      <c r="L47" s="74"/>
      <c r="M47" s="460"/>
      <c r="N47" s="460"/>
      <c r="O47" s="74"/>
      <c r="P47" s="460"/>
      <c r="Q47" s="460"/>
      <c r="XFD47" s="460"/>
    </row>
    <row r="48" spans="1:19 16384:16384" ht="14.55" x14ac:dyDescent="0.25">
      <c r="A48" s="74"/>
      <c r="B48" s="449" t="s">
        <v>335</v>
      </c>
      <c r="C48" s="74"/>
      <c r="D48" s="74"/>
      <c r="E48" s="447"/>
      <c r="F48" s="74"/>
      <c r="G48" s="74"/>
      <c r="H48" s="447"/>
      <c r="I48" s="74"/>
      <c r="J48" s="74"/>
      <c r="K48" s="74"/>
      <c r="L48" s="74"/>
      <c r="M48" s="74"/>
      <c r="N48" s="74"/>
      <c r="O48" s="74"/>
      <c r="P48" s="74"/>
      <c r="Q48" s="74"/>
    </row>
    <row r="49" spans="1:17" ht="14.55" x14ac:dyDescent="0.25">
      <c r="A49" s="74"/>
      <c r="B49" s="74"/>
      <c r="C49" s="74"/>
      <c r="D49" s="74"/>
      <c r="E49" s="447"/>
      <c r="F49" s="74"/>
      <c r="G49" s="74"/>
      <c r="H49" s="447"/>
      <c r="I49" s="74"/>
      <c r="J49" s="74"/>
      <c r="K49" s="74"/>
      <c r="L49" s="74"/>
      <c r="M49" s="74"/>
      <c r="N49" s="74"/>
      <c r="O49" s="74"/>
      <c r="P49" s="74"/>
      <c r="Q49" s="74"/>
    </row>
    <row r="50" spans="1:17" ht="14.55" x14ac:dyDescent="0.25">
      <c r="A50" s="74"/>
      <c r="B50" s="74"/>
      <c r="C50" s="74"/>
      <c r="D50" s="1204" t="s">
        <v>336</v>
      </c>
      <c r="E50" s="1204"/>
      <c r="F50" s="1204"/>
      <c r="G50" s="1204"/>
      <c r="H50" s="1204"/>
      <c r="I50" s="523"/>
      <c r="J50" s="451"/>
      <c r="K50" s="451"/>
      <c r="L50" s="451"/>
      <c r="M50" s="451"/>
      <c r="N50" s="451"/>
      <c r="O50" s="74"/>
      <c r="P50" s="74"/>
      <c r="Q50" s="74"/>
    </row>
    <row r="51" spans="1:17" ht="14.55" x14ac:dyDescent="0.25">
      <c r="A51" s="74"/>
      <c r="B51" s="74"/>
      <c r="C51" s="74"/>
      <c r="D51" s="74"/>
      <c r="E51" s="447"/>
      <c r="F51" s="74"/>
      <c r="G51" s="74"/>
      <c r="H51" s="447"/>
      <c r="I51" s="74"/>
      <c r="J51" s="74"/>
      <c r="K51" s="74"/>
      <c r="L51" s="74"/>
      <c r="M51" s="74"/>
      <c r="N51" s="74"/>
      <c r="O51" s="74"/>
      <c r="P51" s="74"/>
      <c r="Q51" s="74"/>
    </row>
    <row r="52" spans="1:17" ht="14.55" x14ac:dyDescent="0.25">
      <c r="A52" s="74"/>
      <c r="B52" s="74"/>
      <c r="C52" s="391"/>
      <c r="D52" s="1188" t="s">
        <v>337</v>
      </c>
      <c r="E52" s="387">
        <v>1</v>
      </c>
      <c r="F52" s="391"/>
      <c r="G52" s="1188" t="s">
        <v>338</v>
      </c>
      <c r="H52" s="387" t="s">
        <v>148</v>
      </c>
      <c r="I52" s="391"/>
      <c r="J52" s="74"/>
      <c r="K52" s="397"/>
      <c r="L52" s="391"/>
      <c r="M52" s="74"/>
      <c r="N52" s="397"/>
      <c r="O52" s="412"/>
      <c r="P52" s="465"/>
      <c r="Q52" s="465"/>
    </row>
    <row r="53" spans="1:17" ht="14.55" x14ac:dyDescent="0.25">
      <c r="A53" s="74"/>
      <c r="B53" s="74"/>
      <c r="C53" s="391"/>
      <c r="D53" s="1188"/>
      <c r="E53" s="387">
        <v>2</v>
      </c>
      <c r="F53" s="391"/>
      <c r="G53" s="1188"/>
      <c r="H53" s="387" t="s">
        <v>339</v>
      </c>
      <c r="I53" s="391"/>
      <c r="J53" s="74"/>
      <c r="K53" s="397"/>
      <c r="L53" s="391"/>
      <c r="M53" s="74"/>
      <c r="N53" s="397"/>
      <c r="O53" s="412"/>
      <c r="P53" s="465"/>
      <c r="Q53" s="465"/>
    </row>
    <row r="54" spans="1:17" ht="14.55" x14ac:dyDescent="0.25">
      <c r="A54" s="74"/>
      <c r="B54" s="74"/>
      <c r="C54" s="74"/>
      <c r="D54" s="1188"/>
      <c r="E54" s="387">
        <v>3</v>
      </c>
      <c r="F54" s="74"/>
      <c r="G54" s="1188"/>
      <c r="H54" s="387" t="s">
        <v>340</v>
      </c>
      <c r="I54" s="74"/>
      <c r="J54" s="74"/>
      <c r="K54" s="397"/>
      <c r="L54" s="74"/>
      <c r="M54" s="74"/>
      <c r="N54" s="397"/>
      <c r="O54" s="74"/>
      <c r="P54" s="74"/>
      <c r="Q54" s="74"/>
    </row>
    <row r="55" spans="1:17" ht="14.55" x14ac:dyDescent="0.25">
      <c r="A55" s="74"/>
      <c r="B55" s="74"/>
      <c r="C55" s="74"/>
      <c r="D55" s="1188"/>
      <c r="E55" s="387">
        <v>4</v>
      </c>
      <c r="F55" s="74"/>
      <c r="G55" s="1188"/>
      <c r="H55" s="387" t="s">
        <v>341</v>
      </c>
      <c r="I55" s="74"/>
      <c r="J55" s="74"/>
      <c r="K55" s="397"/>
      <c r="L55" s="74"/>
      <c r="M55" s="74"/>
      <c r="N55" s="397"/>
      <c r="O55" s="74"/>
      <c r="P55" s="74"/>
      <c r="Q55" s="74"/>
    </row>
    <row r="56" spans="1:17" ht="14.55" x14ac:dyDescent="0.25">
      <c r="A56" s="74"/>
      <c r="B56" s="74"/>
      <c r="C56" s="74"/>
      <c r="D56" s="1188"/>
      <c r="E56" s="387">
        <v>5</v>
      </c>
      <c r="F56" s="74"/>
      <c r="G56" s="1188"/>
      <c r="H56" s="387" t="s">
        <v>342</v>
      </c>
      <c r="I56" s="74"/>
      <c r="J56" s="74"/>
      <c r="K56" s="397"/>
      <c r="L56" s="74"/>
      <c r="M56" s="74"/>
      <c r="N56" s="397"/>
      <c r="O56" s="74"/>
      <c r="P56" s="74"/>
      <c r="Q56" s="74"/>
    </row>
    <row r="57" spans="1:17" ht="15.2" thickBot="1" x14ac:dyDescent="0.35">
      <c r="B57" s="384"/>
      <c r="C57" s="384"/>
      <c r="D57" s="384"/>
      <c r="E57" s="384"/>
      <c r="F57" s="384"/>
      <c r="G57" s="1179" t="s">
        <v>343</v>
      </c>
      <c r="H57" s="1179"/>
      <c r="I57" s="1180" t="s">
        <v>344</v>
      </c>
      <c r="J57" s="1180"/>
      <c r="K57" s="1180" t="s">
        <v>345</v>
      </c>
      <c r="L57" s="1180"/>
      <c r="M57" s="384"/>
    </row>
    <row r="58" spans="1:17" ht="15.2" thickBot="1" x14ac:dyDescent="0.3">
      <c r="B58" s="1230" t="s">
        <v>346</v>
      </c>
      <c r="C58" s="1231"/>
      <c r="D58" s="1231"/>
      <c r="E58" s="1232"/>
      <c r="F58" s="74"/>
      <c r="G58" s="1225">
        <f>Hochbauplanung!H23</f>
        <v>0</v>
      </c>
      <c r="H58" s="1226"/>
      <c r="I58" s="1225">
        <f>Hochbauplanung!L23</f>
        <v>0</v>
      </c>
      <c r="J58" s="1226"/>
      <c r="K58" s="1225">
        <f>Hochbauplanung!P23</f>
        <v>0</v>
      </c>
      <c r="L58" s="1226"/>
      <c r="M58" s="524"/>
      <c r="N58" s="524"/>
    </row>
    <row r="59" spans="1:17" ht="14.55" x14ac:dyDescent="0.3">
      <c r="B59" s="74"/>
      <c r="C59" s="74"/>
      <c r="D59" s="74"/>
      <c r="E59" s="74"/>
      <c r="F59" s="74"/>
      <c r="G59" s="74"/>
      <c r="H59" s="74"/>
      <c r="I59" s="384"/>
      <c r="J59" s="384"/>
      <c r="K59" s="384"/>
      <c r="L59" s="384"/>
      <c r="M59" s="74"/>
      <c r="N59" s="74"/>
    </row>
    <row r="60" spans="1:17" ht="14.55" x14ac:dyDescent="0.3">
      <c r="B60" s="449"/>
      <c r="C60" s="74"/>
      <c r="D60" s="74"/>
      <c r="E60" s="74"/>
      <c r="F60" s="74"/>
      <c r="G60" s="74"/>
      <c r="H60" s="74"/>
      <c r="I60" s="384"/>
      <c r="J60" s="384"/>
      <c r="K60" s="384"/>
      <c r="L60" s="384"/>
      <c r="M60" s="74"/>
      <c r="N60" s="74"/>
    </row>
    <row r="61" spans="1:17" ht="14.55" x14ac:dyDescent="0.3">
      <c r="B61" s="74"/>
      <c r="C61" s="74"/>
      <c r="D61" s="74"/>
      <c r="E61" s="74"/>
      <c r="F61" s="74"/>
      <c r="G61" s="74"/>
      <c r="H61" s="74"/>
      <c r="I61" s="384"/>
      <c r="J61" s="384"/>
      <c r="K61" s="384"/>
      <c r="L61" s="384"/>
      <c r="M61" s="74"/>
      <c r="N61" s="74"/>
    </row>
    <row r="62" spans="1:17" ht="14.55" x14ac:dyDescent="0.3">
      <c r="B62" s="1242" t="s">
        <v>337</v>
      </c>
      <c r="C62" s="1243"/>
      <c r="D62" s="1243"/>
      <c r="E62" s="1244"/>
      <c r="F62" s="458"/>
      <c r="G62" s="1181">
        <f>Hochbauplanung!F28</f>
        <v>3</v>
      </c>
      <c r="H62" s="1182"/>
      <c r="I62" s="384"/>
      <c r="J62" s="384"/>
      <c r="K62" s="525"/>
      <c r="L62" s="384"/>
      <c r="M62" s="459"/>
      <c r="N62" s="459"/>
    </row>
    <row r="63" spans="1:17" ht="14.55" x14ac:dyDescent="0.3">
      <c r="B63" s="1242" t="s">
        <v>338</v>
      </c>
      <c r="C63" s="1243"/>
      <c r="D63" s="1243"/>
      <c r="E63" s="1244"/>
      <c r="F63" s="458"/>
      <c r="G63" s="1181" t="str">
        <f>Hochbauplanung!F29</f>
        <v>Basishonorarsatz</v>
      </c>
      <c r="H63" s="1182"/>
      <c r="I63" s="384"/>
      <c r="J63" s="384"/>
      <c r="K63" s="384"/>
      <c r="L63" s="384"/>
      <c r="M63" s="459"/>
      <c r="N63" s="459"/>
    </row>
    <row r="64" spans="1:17" ht="14.55" x14ac:dyDescent="0.3">
      <c r="B64" s="74"/>
      <c r="C64" s="74"/>
      <c r="D64" s="74"/>
      <c r="E64" s="74"/>
      <c r="F64" s="74"/>
      <c r="G64" s="74"/>
      <c r="H64" s="74"/>
      <c r="I64" s="384"/>
      <c r="J64" s="384"/>
      <c r="K64" s="384"/>
      <c r="L64" s="384"/>
      <c r="M64" s="384"/>
    </row>
    <row r="65" spans="2:14" ht="14.55" x14ac:dyDescent="0.3">
      <c r="B65" s="74"/>
      <c r="C65" s="74"/>
      <c r="D65" s="74"/>
      <c r="E65" s="74"/>
      <c r="F65" s="74"/>
      <c r="G65" s="74"/>
      <c r="H65" s="74"/>
      <c r="I65" s="384"/>
      <c r="J65" s="384"/>
      <c r="K65" s="384"/>
      <c r="L65" s="384"/>
      <c r="M65" s="384"/>
    </row>
    <row r="66" spans="2:14" ht="14.55" x14ac:dyDescent="0.3">
      <c r="B66" s="449" t="s">
        <v>347</v>
      </c>
      <c r="C66" s="74"/>
      <c r="D66" s="74"/>
      <c r="E66" s="74"/>
      <c r="F66" s="74"/>
      <c r="G66" s="74"/>
      <c r="H66" s="74"/>
      <c r="I66" s="384"/>
      <c r="J66" s="384"/>
      <c r="K66" s="384"/>
      <c r="L66" s="384"/>
      <c r="M66" s="384"/>
    </row>
    <row r="67" spans="2:14" ht="14.55" x14ac:dyDescent="0.3">
      <c r="B67" s="74"/>
      <c r="C67" s="74"/>
      <c r="D67" s="74"/>
      <c r="E67" s="74"/>
      <c r="F67" s="74"/>
      <c r="G67" s="1179" t="s">
        <v>343</v>
      </c>
      <c r="H67" s="1179"/>
      <c r="I67" s="1180" t="s">
        <v>344</v>
      </c>
      <c r="J67" s="1180"/>
      <c r="K67" s="1185" t="s">
        <v>345</v>
      </c>
      <c r="L67" s="1185"/>
      <c r="M67" s="1185"/>
    </row>
    <row r="68" spans="2:14" ht="14.55" x14ac:dyDescent="0.25">
      <c r="C68" s="449"/>
      <c r="D68" s="1222" t="s">
        <v>348</v>
      </c>
      <c r="E68" s="1171" t="s">
        <v>337</v>
      </c>
      <c r="F68" s="460"/>
      <c r="G68" s="526" t="s">
        <v>349</v>
      </c>
      <c r="H68" s="527">
        <f>IF($G$58&lt;$B$8,0,IF($G$58&gt;$B$46,0,VLOOKUP($G$58,$B$8:$B$46,1)))</f>
        <v>0</v>
      </c>
      <c r="I68" s="526" t="s">
        <v>349</v>
      </c>
      <c r="J68" s="527">
        <f>IF($I$58&lt;$B$8,0,IF($I$58&gt;$B$46,0,VLOOKUP($I$58,$B$8:$B$46,1)))</f>
        <v>0</v>
      </c>
      <c r="K68" s="526" t="s">
        <v>349</v>
      </c>
      <c r="L68" s="1175">
        <f>IF($K$58&lt;$B$8,0,IF($K$58&gt;$B$46,0,VLOOKUP(K58,B8:B46,1)))</f>
        <v>0</v>
      </c>
      <c r="M68" s="1176"/>
      <c r="N68" s="460"/>
    </row>
    <row r="69" spans="2:14" ht="14.55" x14ac:dyDescent="0.25">
      <c r="B69" s="449"/>
      <c r="C69" s="449"/>
      <c r="D69" s="1223"/>
      <c r="E69" s="1172"/>
      <c r="F69" s="74"/>
      <c r="G69" s="463" t="s">
        <v>148</v>
      </c>
      <c r="H69" s="464" t="s">
        <v>342</v>
      </c>
      <c r="I69" s="463" t="s">
        <v>148</v>
      </c>
      <c r="J69" s="464" t="s">
        <v>342</v>
      </c>
      <c r="K69" s="463" t="s">
        <v>148</v>
      </c>
      <c r="L69" s="1177" t="s">
        <v>342</v>
      </c>
      <c r="M69" s="1178"/>
      <c r="N69" s="465"/>
    </row>
    <row r="70" spans="2:14" ht="14.55" x14ac:dyDescent="0.25">
      <c r="B70" s="449"/>
      <c r="C70" s="449"/>
      <c r="D70" s="1223"/>
      <c r="E70" s="561">
        <v>1</v>
      </c>
      <c r="F70" s="74"/>
      <c r="G70" s="462">
        <f>IF($G$58&lt;$B$8,0,IF($G$58&gt;$B$46,0,VLOOKUP($H$68,$B$8:$R$46,3)))</f>
        <v>0</v>
      </c>
      <c r="H70" s="462">
        <f>IF($G$58&lt;$B$8,0,IF($G$58&gt;$B$46,0,VLOOKUP(G70,$D$8:$E$46,2)))</f>
        <v>0</v>
      </c>
      <c r="I70" s="462">
        <f>IF($I$58&lt;$B$8,0,IF($I$58&gt;$B$46,0,VLOOKUP($J$68,$B$8:$Q$46,3)))</f>
        <v>0</v>
      </c>
      <c r="J70" s="462">
        <f>IF($I$58&lt;$B$8,0,IF($I$58&gt;$B$46,0,VLOOKUP(I70,$D$8:$E$46,2)))</f>
        <v>0</v>
      </c>
      <c r="K70" s="462">
        <f>IF($K$58&lt;$B$8,0,IF($K$58&gt;$B$46,0,VLOOKUP($L$68,$B$8:$Q$46,3)))</f>
        <v>0</v>
      </c>
      <c r="L70" s="1173">
        <f>IF($K$58&lt;$B$8,0,IF($K$58&gt;$B$46,0,VLOOKUP(K70,$D$8:$E$46,2)))</f>
        <v>0</v>
      </c>
      <c r="M70" s="1174"/>
      <c r="N70" s="460"/>
    </row>
    <row r="71" spans="2:14" ht="14.55" x14ac:dyDescent="0.25">
      <c r="B71" s="449"/>
      <c r="C71" s="449"/>
      <c r="D71" s="1223"/>
      <c r="E71" s="561">
        <v>2</v>
      </c>
      <c r="F71" s="74"/>
      <c r="G71" s="462">
        <f>IF($G$58&lt;$B$8,0,IF($G$58&gt;$B$46,0,VLOOKUP($H$68,$B$8:$Q$46,6)))</f>
        <v>0</v>
      </c>
      <c r="H71" s="462">
        <f>IF($G$58&lt;$B$8,0,IF($G$58&gt;$B$46,0,VLOOKUP(G71,$G$8:$H$46,2)))</f>
        <v>0</v>
      </c>
      <c r="I71" s="462">
        <f>IF($I$58&lt;$B$8,0,IF($I$58&gt;$B$46,0,VLOOKUP($J$68,$B$8:$Q$46,6)))</f>
        <v>0</v>
      </c>
      <c r="J71" s="462">
        <f>IF($I$58&lt;$B$8,0,IF($I$58&gt;$B$46,0,VLOOKUP(I71,$G$8:$H$46,2)))</f>
        <v>0</v>
      </c>
      <c r="K71" s="462">
        <f>IF($K$58&lt;$B$8,0,IF($K$58&gt;$B$46,0,VLOOKUP($L$68,$B$8:$Q$46,6)))</f>
        <v>0</v>
      </c>
      <c r="L71" s="1173">
        <f>IF($K$58&lt;$B$8,0,IF($K$58&gt;$B$46,0,VLOOKUP(K71,$G$8:$H$46,2)))</f>
        <v>0</v>
      </c>
      <c r="M71" s="1174"/>
      <c r="N71" s="460"/>
    </row>
    <row r="72" spans="2:14" ht="14.55" x14ac:dyDescent="0.25">
      <c r="B72" s="449"/>
      <c r="C72" s="449"/>
      <c r="D72" s="1223"/>
      <c r="E72" s="561">
        <v>3</v>
      </c>
      <c r="F72" s="74"/>
      <c r="G72" s="462">
        <f>IF($G$58&lt;$B$8,0,IF($G$58&gt;$B$46,0,VLOOKUP($H$68,$B$8:$Q$46,9)))</f>
        <v>0</v>
      </c>
      <c r="H72" s="462">
        <f>IF($G$58&lt;$B$8,0,IF($G$58&gt;$B$46,0,VLOOKUP(G72,$J$8:$K$46,2)))</f>
        <v>0</v>
      </c>
      <c r="I72" s="462">
        <f>IF($I$58&lt;$B$8,0,IF($I$58&gt;$B$46,0,VLOOKUP($J$68,$B$8:$Q$46,9)))</f>
        <v>0</v>
      </c>
      <c r="J72" s="462">
        <f>IF($I$58&lt;$B$8,0,IF($I$58&gt;$B$46,0,VLOOKUP(I72,$J$8:$K$46,2)))</f>
        <v>0</v>
      </c>
      <c r="K72" s="462">
        <f>IF($K$58&lt;$B$8,0,IF($K$58&gt;$B$46,0,VLOOKUP($L$68,$B$8:$Q$46,9)))</f>
        <v>0</v>
      </c>
      <c r="L72" s="1173">
        <f>IF($K$58&lt;$B$8,0,IF($K$58&gt;$B$46,0,VLOOKUP(K72,$J$8:$K$46,2)))</f>
        <v>0</v>
      </c>
      <c r="M72" s="1174"/>
      <c r="N72" s="460"/>
    </row>
    <row r="73" spans="2:14" ht="14.55" x14ac:dyDescent="0.25">
      <c r="B73" s="449"/>
      <c r="C73" s="449"/>
      <c r="D73" s="1223"/>
      <c r="E73" s="561">
        <v>4</v>
      </c>
      <c r="F73" s="74"/>
      <c r="G73" s="462">
        <f>IF($G$58&lt;$B$8,0,IF($G$58&gt;$B$46,0,VLOOKUP($H$68,$B$8:$Q$46,12)))</f>
        <v>0</v>
      </c>
      <c r="H73" s="462">
        <f>IF($G$58&lt;$B$8,0,IF($G$58&gt;$B$46,0,VLOOKUP(G73,$M$8:$N$46,2)))</f>
        <v>0</v>
      </c>
      <c r="I73" s="462">
        <f>IF($I$58&lt;$B$8,0,IF($I$58&gt;$B$46,0,VLOOKUP($J$68,$B$8:$Q$46,12)))</f>
        <v>0</v>
      </c>
      <c r="J73" s="462">
        <f>IF($I$58&lt;$B$8,0,IF($I$58&gt;$B$46,0,VLOOKUP(I73,$M$8:$N$46,2)))</f>
        <v>0</v>
      </c>
      <c r="K73" s="462">
        <f>IF($K$58&lt;$B$8,0,IF($K$58&gt;$B$46,0,VLOOKUP($L$68,$B$8:$Q$46,12)))</f>
        <v>0</v>
      </c>
      <c r="L73" s="1173">
        <f>IF($K$58&lt;$B$8,0,IF($K$58&gt;$B$46,0,VLOOKUP(K73,$M$8:$N$46,2)))</f>
        <v>0</v>
      </c>
      <c r="M73" s="1174"/>
      <c r="N73" s="460"/>
    </row>
    <row r="74" spans="2:14" ht="14.55" x14ac:dyDescent="0.25">
      <c r="B74" s="449"/>
      <c r="C74" s="449"/>
      <c r="D74" s="1224"/>
      <c r="E74" s="561">
        <v>5</v>
      </c>
      <c r="F74" s="74"/>
      <c r="G74" s="462">
        <f>IF($G$58&lt;$B$8,0,IF($G$58&gt;$B$46,0,VLOOKUP($H$68,$B$8:$Q$46,15)))</f>
        <v>0</v>
      </c>
      <c r="H74" s="462">
        <f>IF($G$58&lt;$B$8,0,IF($G$58&gt;$B$46,0,VLOOKUP(G74,$P$8:$Q$46,2)))</f>
        <v>0</v>
      </c>
      <c r="I74" s="462">
        <f>IF($I$58&lt;$B$8,0,IF($I$58&gt;$B$46,0,VLOOKUP($J$68,$B$8:$Q$46,15)))</f>
        <v>0</v>
      </c>
      <c r="J74" s="462">
        <f>IF($I$58&lt;$B$8,0,IF($I$58&gt;$B$46,0,VLOOKUP(I74,$P$8:$Q$46,2)))</f>
        <v>0</v>
      </c>
      <c r="K74" s="462">
        <f>IF($K$58&lt;$B$8,0,IF($K$58&gt;$B$46,0,VLOOKUP($L$68,$B$8:$Q$46,15)))</f>
        <v>0</v>
      </c>
      <c r="L74" s="1173">
        <f>IF($K$58&lt;$B$8,0,IF($K$58&gt;$B$46,0,VLOOKUP(K74,$P$8:$Q$46,2)))</f>
        <v>0</v>
      </c>
      <c r="M74" s="1174"/>
      <c r="N74" s="460"/>
    </row>
    <row r="75" spans="2:14" ht="14.55" x14ac:dyDescent="0.25">
      <c r="B75" s="396"/>
      <c r="C75" s="396"/>
      <c r="D75" s="396"/>
      <c r="E75" s="74"/>
      <c r="F75" s="74"/>
      <c r="G75" s="528"/>
      <c r="H75" s="465"/>
    </row>
    <row r="76" spans="2:14" ht="14.55" x14ac:dyDescent="0.25">
      <c r="C76" s="449"/>
      <c r="D76" s="1222" t="s">
        <v>350</v>
      </c>
      <c r="E76" s="1171" t="s">
        <v>337</v>
      </c>
      <c r="F76" s="74"/>
      <c r="G76" s="461" t="s">
        <v>349</v>
      </c>
      <c r="H76" s="462" cm="1">
        <f t="array" ref="H76">IF($G$58&lt;$B$8,0,IF(G58&gt;B46,0,INDEX(B8:B46,MATCH(G58,B8:B46,1)+(IF(G58=B46,0,1)),1)))</f>
        <v>0</v>
      </c>
      <c r="I76" s="461" t="s">
        <v>349</v>
      </c>
      <c r="J76" s="462" cm="1">
        <f t="array" ref="J76">IF($I$58&lt;$B$8,0,IF(I58&gt;B46,0,INDEX(B8:B46,MATCH(I58,B8:B46,1)+(IF(G58=B46,0,1)),1)))</f>
        <v>0</v>
      </c>
      <c r="K76" s="461" t="s">
        <v>349</v>
      </c>
      <c r="L76" s="1175" cm="1">
        <f t="array" ref="L76">IF($K$58&lt;$B$8,0,IF($K$58&gt;$B$46,0,INDEX(B8:B46,MATCH(K58,B8:B46,1)+1,1)))</f>
        <v>0</v>
      </c>
      <c r="M76" s="1176"/>
      <c r="N76" s="460"/>
    </row>
    <row r="77" spans="2:14" ht="14.55" x14ac:dyDescent="0.25">
      <c r="B77" s="449"/>
      <c r="C77" s="449"/>
      <c r="D77" s="1223"/>
      <c r="E77" s="1172"/>
      <c r="F77" s="74"/>
      <c r="G77" s="463" t="s">
        <v>148</v>
      </c>
      <c r="H77" s="464" t="s">
        <v>342</v>
      </c>
      <c r="I77" s="463" t="s">
        <v>148</v>
      </c>
      <c r="J77" s="464" t="s">
        <v>342</v>
      </c>
      <c r="K77" s="463" t="s">
        <v>148</v>
      </c>
      <c r="L77" s="1177" t="s">
        <v>342</v>
      </c>
      <c r="M77" s="1178"/>
      <c r="N77" s="465"/>
    </row>
    <row r="78" spans="2:14" ht="14.55" x14ac:dyDescent="0.25">
      <c r="B78" s="449"/>
      <c r="C78" s="449"/>
      <c r="D78" s="1223"/>
      <c r="E78" s="561">
        <v>1</v>
      </c>
      <c r="F78" s="74"/>
      <c r="G78" s="462">
        <f>IF($G$58&lt;$B$8,0,IF($G$58&gt;$B$46,0,VLOOKUP($H$76,$B$8:$Q$46,3)))</f>
        <v>0</v>
      </c>
      <c r="H78" s="462">
        <f>IF($G$58&lt;$B$8,0,IF($G$58&gt;$B$46,0,VLOOKUP(G78,$D$8:$E$46,2)))</f>
        <v>0</v>
      </c>
      <c r="I78" s="462">
        <f>IF($I$58&lt;$B$8,0,IF($I$58&gt;$B$46,0,VLOOKUP($J$76,$B$8:$Q$46,3)))</f>
        <v>0</v>
      </c>
      <c r="J78" s="462">
        <f>IF($I$58&lt;$B$8,0,IF($I$58&gt;$B$46,0,VLOOKUP(I78,$D$8:$E$46,2)))</f>
        <v>0</v>
      </c>
      <c r="K78" s="462">
        <f>IF($K$58&lt;$B$8,0,IF($K$58&gt;$B$46,0,VLOOKUP($L$76,$B$8:$Q$46,3)))</f>
        <v>0</v>
      </c>
      <c r="L78" s="1173">
        <f>IF($K$58&lt;$B$8,0,IF($K$58&gt;$B$46,0,VLOOKUP(K78,$D$8:$E$46,2)))</f>
        <v>0</v>
      </c>
      <c r="M78" s="1174"/>
      <c r="N78" s="460"/>
    </row>
    <row r="79" spans="2:14" ht="14.55" x14ac:dyDescent="0.25">
      <c r="B79" s="449"/>
      <c r="C79" s="449"/>
      <c r="D79" s="1223"/>
      <c r="E79" s="561">
        <v>2</v>
      </c>
      <c r="F79" s="74"/>
      <c r="G79" s="462">
        <f>IF($G$58&lt;$B$8,0,IF($G$58&gt;$B$46,0,VLOOKUP($H$76,$B$8:$Q$46,6)))</f>
        <v>0</v>
      </c>
      <c r="H79" s="462">
        <f>IF($G$58&lt;$B$8,0,IF($G$58&gt;$B$46,0,VLOOKUP(G79,$G$8:$H$46,2)))</f>
        <v>0</v>
      </c>
      <c r="I79" s="462">
        <f>IF($I$58&lt;$B$8,0,IF($I$58&gt;$B$46,0,VLOOKUP($J$76,$B$8:$Q$46,6)))</f>
        <v>0</v>
      </c>
      <c r="J79" s="462">
        <f>IF($I$58&lt;$B$8,0,IF($I$58&gt;$B$46,0,VLOOKUP(I79,$G$8:$H$46,2)))</f>
        <v>0</v>
      </c>
      <c r="K79" s="462">
        <f>IF($K$58&lt;$B$8,0,IF($K$58&gt;$B$46,0,VLOOKUP($L$76,$B$8:$Q$46,6)))</f>
        <v>0</v>
      </c>
      <c r="L79" s="1173">
        <f>IF($K$58&lt;$B$8,0,IF($K$58&gt;$B$46,0,VLOOKUP(K79,$G$8:$H$46,2)))</f>
        <v>0</v>
      </c>
      <c r="M79" s="1174"/>
      <c r="N79" s="460"/>
    </row>
    <row r="80" spans="2:14" ht="14.55" x14ac:dyDescent="0.25">
      <c r="B80" s="449"/>
      <c r="C80" s="449"/>
      <c r="D80" s="1223"/>
      <c r="E80" s="561">
        <v>3</v>
      </c>
      <c r="F80" s="74"/>
      <c r="G80" s="462">
        <f>IF($G$58&lt;$B$8,0,IF($G$58&gt;$B$46,0,VLOOKUP($H$76,$B$8:$Q$46,9)))</f>
        <v>0</v>
      </c>
      <c r="H80" s="462">
        <f>IF($G$58&lt;$B$8,0,IF($G$58&gt;$B$46,0,VLOOKUP(G80,$J$8:$K$46,2)))</f>
        <v>0</v>
      </c>
      <c r="I80" s="462">
        <f>IF($I$58&lt;$B$8,0,IF($I$58&gt;$B$46,0,VLOOKUP($J$76,$B$8:$Q$46,9)))</f>
        <v>0</v>
      </c>
      <c r="J80" s="462">
        <f>IF($I$58&lt;$B$8,0,IF($I$58&gt;$B$46,0,VLOOKUP(I80,$J$8:$K$46,2)))</f>
        <v>0</v>
      </c>
      <c r="K80" s="462">
        <f>IF($K$58&lt;$B$8,0,IF($K$58&gt;$B$46,0,VLOOKUP($L$76,$B$8:$Q$46,9)))</f>
        <v>0</v>
      </c>
      <c r="L80" s="1173">
        <f>IF($K$58&lt;$B$8,0,IF($K$58&gt;$B$46,0,VLOOKUP(K80,$J$8:$K$46,2)))</f>
        <v>0</v>
      </c>
      <c r="M80" s="1174"/>
      <c r="N80" s="460"/>
    </row>
    <row r="81" spans="2:14" ht="14.55" x14ac:dyDescent="0.25">
      <c r="B81" s="449"/>
      <c r="C81" s="449"/>
      <c r="D81" s="1223"/>
      <c r="E81" s="561">
        <v>4</v>
      </c>
      <c r="F81" s="74"/>
      <c r="G81" s="462">
        <f>IF($G$58&lt;$B$8,0,IF($G$58&gt;$B$46,0,VLOOKUP($H$76,$B$8:$Q$46,12)))</f>
        <v>0</v>
      </c>
      <c r="H81" s="462">
        <f>IF($G$58&lt;$B$8,0,IF($G$58&gt;$B$46,0,VLOOKUP(G81,$M$8:$N$46,2)))</f>
        <v>0</v>
      </c>
      <c r="I81" s="462">
        <f>IF($I$58&lt;$B$8,0,IF($I$58&gt;$B$46,0,VLOOKUP($J$76,$B$8:$Q$46,12)))</f>
        <v>0</v>
      </c>
      <c r="J81" s="462">
        <f>IF($I$58&lt;$B$8,0,IF($I$58&gt;$B$46,0,VLOOKUP(I81,$M$8:$N$46,2)))</f>
        <v>0</v>
      </c>
      <c r="K81" s="462">
        <f>IF($K$58&lt;$B$8,0,IF($K$58&gt;$B$46,0,VLOOKUP($L$76,$B$8:$Q$46,12)))</f>
        <v>0</v>
      </c>
      <c r="L81" s="1173">
        <f>IF($K$58&lt;$B$8,0,IF($K$58&gt;$B$46,0,VLOOKUP(K81,$M$8:$N$46,2)))</f>
        <v>0</v>
      </c>
      <c r="M81" s="1174"/>
      <c r="N81" s="460"/>
    </row>
    <row r="82" spans="2:14" ht="14.55" x14ac:dyDescent="0.25">
      <c r="B82" s="449"/>
      <c r="C82" s="449"/>
      <c r="D82" s="1224"/>
      <c r="E82" s="561">
        <v>5</v>
      </c>
      <c r="F82" s="74"/>
      <c r="G82" s="462">
        <f>IF($G$58&lt;$B$8,0,IF($G$58&gt;$B$46,0,VLOOKUP($H$76,$B$8:$Q$46,15)))</f>
        <v>0</v>
      </c>
      <c r="H82" s="462">
        <f>IF($G$58&lt;$B$8,0,IF($G$58&gt;$B$46,0,VLOOKUP(G82,$P$8:$Q$46,2)))</f>
        <v>0</v>
      </c>
      <c r="I82" s="462">
        <f>IF($I$58&lt;$B$8,0,IF($I$58&gt;$B$46,0,VLOOKUP($J$76,$B$8:$Q$46,15)))</f>
        <v>0</v>
      </c>
      <c r="J82" s="462">
        <f>IF($I$58&lt;$B$8,0,IF($I$58&gt;$B$46,0,VLOOKUP(I82,$P$8:$Q$46,2)))</f>
        <v>0</v>
      </c>
      <c r="K82" s="462">
        <f>IF($K$58&lt;$B$8,0,IF($K$58&gt;$B$46,0,VLOOKUP($L$76,$B$8:$Q$46,15)))</f>
        <v>0</v>
      </c>
      <c r="L82" s="1173">
        <f>IF($K$58&lt;$B$8,0,IF($K$58&gt;$B$46,0,VLOOKUP(K82,$P$8:$Q$46,2)))</f>
        <v>0</v>
      </c>
      <c r="M82" s="1174"/>
      <c r="N82" s="460"/>
    </row>
    <row r="84" spans="2:14" x14ac:dyDescent="0.25">
      <c r="B84" s="383" t="s">
        <v>351</v>
      </c>
    </row>
    <row r="86" spans="2:14" ht="14.55" x14ac:dyDescent="0.25">
      <c r="B86" s="396"/>
      <c r="C86" s="396"/>
      <c r="D86" s="396"/>
      <c r="E86" s="74"/>
      <c r="F86" s="74"/>
      <c r="G86" s="463" t="s">
        <v>148</v>
      </c>
      <c r="H86" s="464" t="s">
        <v>342</v>
      </c>
      <c r="I86" s="463" t="s">
        <v>148</v>
      </c>
      <c r="J86" s="464" t="s">
        <v>342</v>
      </c>
      <c r="K86" s="463" t="s">
        <v>148</v>
      </c>
      <c r="L86" s="1188" t="s">
        <v>342</v>
      </c>
      <c r="M86" s="1188"/>
      <c r="N86" s="465"/>
    </row>
    <row r="87" spans="2:14" ht="14.55" x14ac:dyDescent="0.25">
      <c r="B87" s="1237" t="s">
        <v>348</v>
      </c>
      <c r="C87" s="1237"/>
      <c r="D87" s="1237"/>
      <c r="E87" s="1237"/>
      <c r="F87" s="74"/>
      <c r="G87" s="468">
        <f>VLOOKUP($G$62,$E$70:$H$74,3)</f>
        <v>0</v>
      </c>
      <c r="H87" s="468">
        <f>VLOOKUP(G62,$E$70:$H$74,4)</f>
        <v>0</v>
      </c>
      <c r="I87" s="468">
        <f>VLOOKUP($G$62,$E$70:$J$74,5)</f>
        <v>0</v>
      </c>
      <c r="J87" s="468">
        <f>VLOOKUP(G62,$E$70:$J$74,6)</f>
        <v>0</v>
      </c>
      <c r="K87" s="468">
        <f>VLOOKUP($G$62,$E$70:$K$74,7)</f>
        <v>0</v>
      </c>
      <c r="L87" s="1164">
        <f>VLOOKUP(G62,$E$70:$M$74,8)</f>
        <v>0</v>
      </c>
      <c r="M87" s="1164"/>
      <c r="N87" s="469"/>
    </row>
    <row r="88" spans="2:14" ht="14.55" x14ac:dyDescent="0.25">
      <c r="B88" s="1237" t="s">
        <v>350</v>
      </c>
      <c r="C88" s="1237"/>
      <c r="D88" s="1237"/>
      <c r="E88" s="1237"/>
      <c r="F88" s="74"/>
      <c r="G88" s="468">
        <f>VLOOKUP($G$62,$E$78:$H$82,3)</f>
        <v>0</v>
      </c>
      <c r="H88" s="468">
        <f>VLOOKUP(G62,$E$78:$H$82,4)</f>
        <v>0</v>
      </c>
      <c r="I88" s="468">
        <f>VLOOKUP($G$62,$E$78:$J$82,5)</f>
        <v>0</v>
      </c>
      <c r="J88" s="468">
        <f>VLOOKUP(G62,$E$78:$K$82,6)</f>
        <v>0</v>
      </c>
      <c r="K88" s="468">
        <f>VLOOKUP($G$62,$E$78:$K$82,7)</f>
        <v>0</v>
      </c>
      <c r="L88" s="1164">
        <f>VLOOKUP(G62,$E$78:$M$82,8)</f>
        <v>0</v>
      </c>
      <c r="M88" s="1164"/>
      <c r="N88" s="469"/>
    </row>
    <row r="89" spans="2:14" ht="14.55" x14ac:dyDescent="0.25">
      <c r="B89" s="1239" t="s">
        <v>352</v>
      </c>
      <c r="C89" s="1240"/>
      <c r="D89" s="1240"/>
      <c r="E89" s="1241"/>
      <c r="F89" s="74"/>
      <c r="G89" s="529">
        <f>G88-G87</f>
        <v>0</v>
      </c>
      <c r="H89" s="529">
        <f t="shared" ref="H89:L89" si="4">H88-H87</f>
        <v>0</v>
      </c>
      <c r="I89" s="529">
        <f t="shared" si="4"/>
        <v>0</v>
      </c>
      <c r="J89" s="529">
        <f t="shared" si="4"/>
        <v>0</v>
      </c>
      <c r="K89" s="529">
        <f t="shared" si="4"/>
        <v>0</v>
      </c>
      <c r="L89" s="1189">
        <f t="shared" si="4"/>
        <v>0</v>
      </c>
      <c r="M89" s="1189"/>
      <c r="N89" s="530"/>
    </row>
    <row r="90" spans="2:14" ht="14.55" x14ac:dyDescent="0.25">
      <c r="B90" s="1237" t="s">
        <v>353</v>
      </c>
      <c r="C90" s="1237"/>
      <c r="D90" s="1237"/>
      <c r="E90" s="1237"/>
      <c r="F90" s="74"/>
      <c r="G90" s="529">
        <f>G58-H68</f>
        <v>0</v>
      </c>
      <c r="H90" s="472">
        <f>G62</f>
        <v>3</v>
      </c>
      <c r="I90" s="529">
        <f>I58-J68</f>
        <v>0</v>
      </c>
      <c r="J90" s="472">
        <f>G62</f>
        <v>3</v>
      </c>
      <c r="K90" s="529">
        <f>K58-L68</f>
        <v>0</v>
      </c>
      <c r="L90" s="1190">
        <f>G62</f>
        <v>3</v>
      </c>
      <c r="M90" s="1190"/>
      <c r="N90" s="531"/>
    </row>
    <row r="93" spans="2:14" x14ac:dyDescent="0.25">
      <c r="B93" s="383" t="s">
        <v>354</v>
      </c>
    </row>
    <row r="95" spans="2:14" ht="14.55" x14ac:dyDescent="0.25">
      <c r="B95" s="74"/>
      <c r="C95" s="74"/>
      <c r="D95" s="465"/>
      <c r="E95" s="74"/>
      <c r="F95" s="465"/>
      <c r="G95" s="463" t="s">
        <v>148</v>
      </c>
      <c r="H95" s="464" t="s">
        <v>342</v>
      </c>
      <c r="I95" s="463" t="s">
        <v>148</v>
      </c>
      <c r="J95" s="464" t="s">
        <v>342</v>
      </c>
      <c r="K95" s="463" t="s">
        <v>148</v>
      </c>
      <c r="L95" s="1188" t="s">
        <v>342</v>
      </c>
      <c r="M95" s="1188"/>
      <c r="N95" s="465"/>
    </row>
    <row r="96" spans="2:14" ht="14.55" x14ac:dyDescent="0.25">
      <c r="B96" s="1238" t="s">
        <v>355</v>
      </c>
      <c r="C96" s="1238"/>
      <c r="D96" s="1238"/>
      <c r="E96" s="1238"/>
      <c r="F96" s="473"/>
      <c r="G96" s="468">
        <f>G87</f>
        <v>0</v>
      </c>
      <c r="H96" s="468">
        <f t="shared" ref="H96:L96" si="5">H87</f>
        <v>0</v>
      </c>
      <c r="I96" s="468">
        <f t="shared" si="5"/>
        <v>0</v>
      </c>
      <c r="J96" s="468">
        <f t="shared" si="5"/>
        <v>0</v>
      </c>
      <c r="K96" s="468">
        <f t="shared" si="5"/>
        <v>0</v>
      </c>
      <c r="L96" s="1164">
        <f t="shared" si="5"/>
        <v>0</v>
      </c>
      <c r="M96" s="1164"/>
      <c r="N96" s="469"/>
    </row>
    <row r="97" spans="2:22" ht="14.55" x14ac:dyDescent="0.25">
      <c r="B97" s="1238" t="s">
        <v>356</v>
      </c>
      <c r="C97" s="1238"/>
      <c r="D97" s="1238"/>
      <c r="E97" s="1238"/>
      <c r="F97" s="473"/>
      <c r="G97" s="468">
        <f>G90</f>
        <v>0</v>
      </c>
      <c r="H97" s="468">
        <f>G90</f>
        <v>0</v>
      </c>
      <c r="I97" s="468">
        <f>I90</f>
        <v>0</v>
      </c>
      <c r="J97" s="468">
        <f>I90</f>
        <v>0</v>
      </c>
      <c r="K97" s="468">
        <f>K90</f>
        <v>0</v>
      </c>
      <c r="L97" s="1164">
        <f>K90</f>
        <v>0</v>
      </c>
      <c r="M97" s="1164"/>
      <c r="N97" s="469"/>
    </row>
    <row r="98" spans="2:22" ht="14.55" x14ac:dyDescent="0.25">
      <c r="B98" s="1238" t="s">
        <v>357</v>
      </c>
      <c r="C98" s="1238"/>
      <c r="D98" s="1238"/>
      <c r="E98" s="1238"/>
      <c r="F98" s="473"/>
      <c r="G98" s="468">
        <f t="shared" ref="G98:L98" si="6">G89</f>
        <v>0</v>
      </c>
      <c r="H98" s="468">
        <f t="shared" si="6"/>
        <v>0</v>
      </c>
      <c r="I98" s="468">
        <f t="shared" si="6"/>
        <v>0</v>
      </c>
      <c r="J98" s="468">
        <f t="shared" si="6"/>
        <v>0</v>
      </c>
      <c r="K98" s="468">
        <f t="shared" si="6"/>
        <v>0</v>
      </c>
      <c r="L98" s="1164">
        <f t="shared" si="6"/>
        <v>0</v>
      </c>
      <c r="M98" s="1164"/>
      <c r="N98" s="469"/>
    </row>
    <row r="99" spans="2:22" ht="14.55" x14ac:dyDescent="0.25">
      <c r="B99" s="1238" t="s">
        <v>358</v>
      </c>
      <c r="C99" s="1238"/>
      <c r="D99" s="1238"/>
      <c r="E99" s="1238"/>
      <c r="F99" s="473"/>
      <c r="G99" s="468">
        <f>H76-H68</f>
        <v>0</v>
      </c>
      <c r="H99" s="468">
        <f>H76-H68</f>
        <v>0</v>
      </c>
      <c r="I99" s="468">
        <f>J76-J68</f>
        <v>0</v>
      </c>
      <c r="J99" s="468">
        <f>J76-J68</f>
        <v>0</v>
      </c>
      <c r="K99" s="468">
        <f>L76-L68</f>
        <v>0</v>
      </c>
      <c r="L99" s="1164">
        <f>L76-L68</f>
        <v>0</v>
      </c>
      <c r="M99" s="1164"/>
      <c r="N99" s="469"/>
    </row>
    <row r="100" spans="2:22" ht="15.2" thickBot="1" x14ac:dyDescent="0.3">
      <c r="B100" s="74"/>
      <c r="C100" s="74"/>
      <c r="D100" s="74"/>
      <c r="E100" s="460"/>
      <c r="F100" s="460"/>
      <c r="G100" s="474"/>
      <c r="H100" s="74"/>
    </row>
    <row r="101" spans="2:22" ht="14.55" x14ac:dyDescent="0.25">
      <c r="B101" s="392"/>
      <c r="C101" s="1188"/>
      <c r="D101" s="475" t="s">
        <v>148</v>
      </c>
      <c r="E101" s="393"/>
      <c r="F101" s="469"/>
      <c r="G101" s="74"/>
      <c r="H101" s="476">
        <f>IF(G99=0,0,G96+((G97*G98)/G99))</f>
        <v>0</v>
      </c>
      <c r="J101" s="476">
        <f>IF(I99=0,0,I96+((I97*I98)/I99))</f>
        <v>0</v>
      </c>
      <c r="L101" s="1165">
        <f>IF(K99=0,0,K96+((K97*K98)/K99))</f>
        <v>0</v>
      </c>
      <c r="M101" s="1166"/>
      <c r="N101" s="469"/>
    </row>
    <row r="102" spans="2:22" ht="14.55" x14ac:dyDescent="0.25">
      <c r="B102" s="394" t="s">
        <v>359</v>
      </c>
      <c r="C102" s="1188"/>
      <c r="D102" s="475" t="s">
        <v>339</v>
      </c>
      <c r="E102" s="393"/>
      <c r="F102" s="469"/>
      <c r="G102" s="74"/>
      <c r="H102" s="477">
        <f>((H105-H101)*0.25)+H101</f>
        <v>0</v>
      </c>
      <c r="J102" s="477">
        <f>((J105-J101)*0.25)+J101</f>
        <v>0</v>
      </c>
      <c r="L102" s="1167">
        <f>((L105-L101)*0.25)+L101</f>
        <v>0</v>
      </c>
      <c r="M102" s="1168"/>
      <c r="N102" s="469"/>
    </row>
    <row r="103" spans="2:22" ht="14.55" x14ac:dyDescent="0.25">
      <c r="B103" s="394"/>
      <c r="C103" s="1188"/>
      <c r="D103" s="475" t="s">
        <v>340</v>
      </c>
      <c r="E103" s="393"/>
      <c r="F103" s="469"/>
      <c r="G103" s="74"/>
      <c r="H103" s="477">
        <f>(H105+H101)/2</f>
        <v>0</v>
      </c>
      <c r="J103" s="477">
        <f>(J105+J101)/2</f>
        <v>0</v>
      </c>
      <c r="L103" s="1167">
        <f>(L105+L101)/2</f>
        <v>0</v>
      </c>
      <c r="M103" s="1168"/>
      <c r="N103" s="469"/>
    </row>
    <row r="104" spans="2:22" ht="14.55" x14ac:dyDescent="0.25">
      <c r="B104" s="394" t="s">
        <v>360</v>
      </c>
      <c r="C104" s="1188"/>
      <c r="D104" s="475" t="s">
        <v>341</v>
      </c>
      <c r="E104" s="393"/>
      <c r="F104" s="469"/>
      <c r="G104" s="74"/>
      <c r="H104" s="477">
        <f>((H105-H101)*0.75)+H101</f>
        <v>0</v>
      </c>
      <c r="J104" s="477">
        <f>((J105-J101)*0.75)+J101</f>
        <v>0</v>
      </c>
      <c r="L104" s="1167">
        <f>((L105-L101)*0.75)+L101</f>
        <v>0</v>
      </c>
      <c r="M104" s="1168"/>
      <c r="N104" s="469"/>
    </row>
    <row r="105" spans="2:22" ht="15.2" thickBot="1" x14ac:dyDescent="0.3">
      <c r="B105" s="395"/>
      <c r="C105" s="1188"/>
      <c r="D105" s="475" t="s">
        <v>342</v>
      </c>
      <c r="E105" s="393"/>
      <c r="F105" s="469"/>
      <c r="G105" s="74"/>
      <c r="H105" s="478">
        <f>IF(H99=0,0,H96+((H97*H98)/H99))</f>
        <v>0</v>
      </c>
      <c r="J105" s="478">
        <f>IF(J99=0,0,J96+((J97*J98)/J99))</f>
        <v>0</v>
      </c>
      <c r="L105" s="1169">
        <f>IF(L99=0,0,L96+((L97*L98)/L99))</f>
        <v>0</v>
      </c>
      <c r="M105" s="1170"/>
      <c r="N105" s="469"/>
    </row>
    <row r="107" spans="2:22" ht="15.2" thickBot="1" x14ac:dyDescent="0.35">
      <c r="B107" s="74"/>
      <c r="C107" s="74"/>
      <c r="D107" s="74"/>
      <c r="E107" s="74"/>
      <c r="F107" s="74"/>
      <c r="G107" s="1179" t="s">
        <v>343</v>
      </c>
      <c r="H107" s="1179"/>
      <c r="I107" s="1180" t="s">
        <v>344</v>
      </c>
      <c r="J107" s="1180"/>
      <c r="K107" s="1185" t="s">
        <v>345</v>
      </c>
      <c r="L107" s="1185"/>
      <c r="M107" s="1185"/>
      <c r="N107" s="449"/>
    </row>
    <row r="108" spans="2:22" ht="15.2" thickBot="1" x14ac:dyDescent="0.3">
      <c r="B108" s="1227" t="s">
        <v>361</v>
      </c>
      <c r="C108" s="1228"/>
      <c r="D108" s="1228"/>
      <c r="E108" s="1229"/>
      <c r="F108" s="74"/>
      <c r="G108" s="479">
        <f>G62</f>
        <v>3</v>
      </c>
      <c r="H108" s="480">
        <f>IF($G$63="Basishonorarsatz",H101,IF($G$63="Viertelsatz",H102,IF($G$63="Mittelsatz",H103,IF($G$63="Dreiviertelsatz",H104,H105))))</f>
        <v>0</v>
      </c>
      <c r="I108" s="532"/>
      <c r="J108" s="533">
        <f>IF($G$63="Basishonorarsatz",J101,IF($G$63="Viertelsatz",J102,IF($G$63="Mittelsatz",J103,IF($G$63="Dreiviertelsatz",J104,J105))))</f>
        <v>0</v>
      </c>
      <c r="K108" s="532"/>
      <c r="L108" s="1235">
        <f>IF($G$63="Basishonorarsatz",L101,IF($G$63="Viertelsatz",L102,IF($G$63="Mittelsatz",L103,IF($G$63="Dreiviertelsatz",L104,L105))))</f>
        <v>0</v>
      </c>
      <c r="M108" s="1236"/>
      <c r="N108" s="534"/>
    </row>
    <row r="109" spans="2:22" x14ac:dyDescent="0.25">
      <c r="B109" s="73" t="s">
        <v>125</v>
      </c>
    </row>
    <row r="110" spans="2:22" ht="15" customHeight="1" thickBot="1" x14ac:dyDescent="0.3">
      <c r="B110" s="73" t="s">
        <v>362</v>
      </c>
      <c r="G110" s="487"/>
      <c r="H110" s="1191" t="s">
        <v>363</v>
      </c>
      <c r="I110" s="1192"/>
      <c r="J110" s="1192"/>
      <c r="K110" s="1192"/>
      <c r="L110" s="1192"/>
      <c r="M110" s="1192"/>
    </row>
    <row r="111" spans="2:22" ht="30.8" customHeight="1" thickBot="1" x14ac:dyDescent="0.3">
      <c r="B111" s="73" t="s">
        <v>364</v>
      </c>
      <c r="G111" s="488"/>
      <c r="H111" s="1183" t="s">
        <v>365</v>
      </c>
      <c r="I111" s="1184"/>
      <c r="J111" s="1186" t="s">
        <v>366</v>
      </c>
      <c r="K111" s="1187"/>
      <c r="L111" s="535" t="s">
        <v>367</v>
      </c>
      <c r="M111" s="536" t="s">
        <v>368</v>
      </c>
      <c r="T111" s="383"/>
      <c r="U111" s="383"/>
      <c r="V111" s="383"/>
    </row>
    <row r="112" spans="2:22" ht="13.6" customHeight="1" x14ac:dyDescent="0.3">
      <c r="B112" s="73" t="s">
        <v>369</v>
      </c>
      <c r="G112" s="489">
        <v>1</v>
      </c>
      <c r="H112" s="1218">
        <f>IF(Hochbauplanung!T61="ja",Hochbauplanung!J61*Hochbauplanung!F37+Hochbauplanung!J61+$L$112,0)</f>
        <v>0</v>
      </c>
      <c r="I112" s="1219"/>
      <c r="J112" s="1233">
        <f>IF(Hochbauplanung!T61="ja",Hochbauplanung!L76,0)</f>
        <v>0</v>
      </c>
      <c r="K112" s="1234"/>
      <c r="L112" s="537">
        <f>IF(Hochbauplanung!$B$57=Hochbauplanung!$T$17,Hochbauplanung!I60,0)</f>
        <v>0</v>
      </c>
      <c r="M112" s="537">
        <f>IF(Hochbauplanung!T61="ja",Hochbauplanung!J61+$L$112,0)</f>
        <v>0</v>
      </c>
      <c r="N112" s="1213"/>
      <c r="O112" s="1213"/>
      <c r="T112" s="384"/>
      <c r="U112" s="384"/>
      <c r="V112" s="384"/>
    </row>
    <row r="113" spans="2:22" ht="13.6" customHeight="1" x14ac:dyDescent="0.3">
      <c r="G113" s="491">
        <v>2</v>
      </c>
      <c r="H113" s="1158">
        <f>IF(Hochbauplanung!T77="ja",Hochbauplanung!J77+Hochbauplanung!F37*Hochbauplanung!J77+$L$113,0)</f>
        <v>0</v>
      </c>
      <c r="I113" s="1159"/>
      <c r="J113" s="1160">
        <f>IF(Hochbauplanung!T77="ja",Hochbauplanung!L101,0)</f>
        <v>0</v>
      </c>
      <c r="K113" s="1161"/>
      <c r="L113" s="538">
        <f>IF(Hochbauplanung!$B$57=Hochbauplanung!$T$17,Hochbauplanung!I76,0)</f>
        <v>0</v>
      </c>
      <c r="M113" s="538">
        <f>IF(Hochbauplanung!T77="ja",Hochbauplanung!J77+$L$113,0)</f>
        <v>0</v>
      </c>
      <c r="N113" s="1213"/>
      <c r="O113" s="1213"/>
      <c r="T113" s="385"/>
      <c r="U113" s="274"/>
      <c r="V113" s="385"/>
    </row>
    <row r="114" spans="2:22" ht="14.55" x14ac:dyDescent="0.3">
      <c r="B114" s="73" t="s">
        <v>125</v>
      </c>
      <c r="G114" s="491">
        <v>3</v>
      </c>
      <c r="H114" s="1158">
        <f>IF(Hochbauplanung!T105="ja",Hochbauplanung!J105+Hochbauplanung!F37*Hochbauplanung!J105+$L$114,0)</f>
        <v>0</v>
      </c>
      <c r="I114" s="1159"/>
      <c r="J114" s="1160">
        <f>IF(Hochbauplanung!T105="ja",SUM(Hochbauplanung!R105:R128),0)</f>
        <v>0</v>
      </c>
      <c r="K114" s="1161"/>
      <c r="L114" s="538">
        <f>IF(Hochbauplanung!B101=Hochbauplanung!T18,Hochbauplanung!I104,0)</f>
        <v>0</v>
      </c>
      <c r="M114" s="538">
        <f>IF(Hochbauplanung!T105="ja",Hochbauplanung!J105+$L$114,0)</f>
        <v>0</v>
      </c>
      <c r="N114" s="1213"/>
      <c r="O114" s="1213"/>
      <c r="T114" s="273"/>
      <c r="U114" s="274"/>
      <c r="V114" s="275"/>
    </row>
    <row r="115" spans="2:22" ht="14.55" x14ac:dyDescent="0.3">
      <c r="B115" s="73" t="s">
        <v>370</v>
      </c>
      <c r="G115" s="491">
        <v>4</v>
      </c>
      <c r="H115" s="1158">
        <f>IF(Hochbauplanung!T133="ja",Hochbauplanung!J133+Hochbauplanung!F37*Hochbauplanung!J133+$L$115,0)</f>
        <v>0</v>
      </c>
      <c r="I115" s="1159"/>
      <c r="J115" s="1160">
        <f>IF(Hochbauplanung!T133="ja",Hochbauplanung!L142,0)</f>
        <v>0</v>
      </c>
      <c r="K115" s="1161"/>
      <c r="L115" s="538">
        <f>IF(Hochbauplanung!$B$129=Hochbauplanung!$T$19,Hochbauplanung!I132,0)</f>
        <v>0</v>
      </c>
      <c r="M115" s="538">
        <f>IF(Hochbauplanung!T133="ja",Hochbauplanung!J133+$L$115,0)</f>
        <v>0</v>
      </c>
      <c r="N115" s="1213"/>
      <c r="O115" s="1213"/>
      <c r="T115" s="273"/>
      <c r="U115" s="274"/>
      <c r="V115" s="275"/>
    </row>
    <row r="116" spans="2:22" ht="14.55" x14ac:dyDescent="0.3">
      <c r="G116" s="491" t="s">
        <v>371</v>
      </c>
      <c r="H116" s="1158">
        <f>IF(Hochbauplanung!T143="ja",Hochbauplanung!J143+Hochbauplanung!F37*Hochbauplanung!J143+$L$116,0)</f>
        <v>0</v>
      </c>
      <c r="I116" s="1159"/>
      <c r="J116" s="1160">
        <f>IF(Hochbauplanung!T143="ja",Hochbauplanung!R143,0)</f>
        <v>0</v>
      </c>
      <c r="K116" s="1161"/>
      <c r="L116" s="538">
        <f>IF(Hochbauplanung!$B$129=Hochbauplanung!$T$19,Hochbauplanung!I148,0)</f>
        <v>0</v>
      </c>
      <c r="M116" s="538">
        <f>IF(Hochbauplanung!T143="ja",Hochbauplanung!J143+$L$116,0)</f>
        <v>0</v>
      </c>
      <c r="N116" s="1213"/>
      <c r="O116" s="1213"/>
      <c r="T116" s="273"/>
      <c r="U116" s="274"/>
      <c r="V116" s="275"/>
    </row>
    <row r="117" spans="2:22" ht="14.55" x14ac:dyDescent="0.3">
      <c r="G117" s="491" t="s">
        <v>372</v>
      </c>
      <c r="H117" s="1158">
        <f>IF(Hochbauplanung!T149="ja",Hochbauplanung!J149+Hochbauplanung!F37*Hochbauplanung!J149+$L$117,0)</f>
        <v>0</v>
      </c>
      <c r="I117" s="1159"/>
      <c r="J117" s="1160">
        <f>IF(Hochbauplanung!T149="ja",Hochbauplanung!R149,0)</f>
        <v>0</v>
      </c>
      <c r="K117" s="1161"/>
      <c r="L117" s="538">
        <f>IF(Hochbauplanung!$B$129=Hochbauplanung!$T$19,Hochbauplanung!I155,0)</f>
        <v>0</v>
      </c>
      <c r="M117" s="538">
        <f>IF(Hochbauplanung!T149="ja",Hochbauplanung!J149+$L$117,0)</f>
        <v>0</v>
      </c>
      <c r="N117" s="1213"/>
      <c r="O117" s="1213"/>
      <c r="T117" s="273"/>
      <c r="U117" s="274"/>
      <c r="V117" s="275"/>
    </row>
    <row r="118" spans="2:22" ht="14.55" x14ac:dyDescent="0.3">
      <c r="G118" s="491" t="s">
        <v>373</v>
      </c>
      <c r="H118" s="1158">
        <f>IF(Hochbauplanung!T156="Ja",Hochbauplanung!J156+Hochbauplanung!F37*Hochbauplanung!J156+$L$118,0)</f>
        <v>0</v>
      </c>
      <c r="I118" s="1159"/>
      <c r="J118" s="1160">
        <f>IF(Hochbauplanung!T156="ja",Hochbauplanung!R156,0)</f>
        <v>0</v>
      </c>
      <c r="K118" s="1161"/>
      <c r="L118" s="538">
        <f>IF(Hochbauplanung!$B$129=Hochbauplanung!$T$19,Hochbauplanung!I159,0)</f>
        <v>0</v>
      </c>
      <c r="M118" s="538">
        <f>IF(Hochbauplanung!T156="Ja",Hochbauplanung!J156+$L$118,0)</f>
        <v>0</v>
      </c>
      <c r="N118" s="1213"/>
      <c r="O118" s="1213"/>
      <c r="T118" s="273"/>
      <c r="U118" s="274"/>
      <c r="V118" s="275"/>
    </row>
    <row r="119" spans="2:22" ht="14.55" x14ac:dyDescent="0.3">
      <c r="G119" s="491" t="s">
        <v>374</v>
      </c>
      <c r="H119" s="1158">
        <f>IF(Hochbauplanung!T160="ja",Hochbauplanung!J160+Hochbauplanung!F37*Hochbauplanung!J160+L119,0)</f>
        <v>0</v>
      </c>
      <c r="I119" s="1159"/>
      <c r="J119" s="1160">
        <f>IF(Hochbauplanung!T160="ja",Hochbauplanung!R161,0)</f>
        <v>0</v>
      </c>
      <c r="K119" s="1161"/>
      <c r="L119" s="538">
        <f>IF(Hochbauplanung!$B$129=Hochbauplanung!$T$19,Hochbauplanung!I161,0)</f>
        <v>0</v>
      </c>
      <c r="M119" s="538">
        <f>IF(Hochbauplanung!T160="ja",Hochbauplanung!J160+L119,0)</f>
        <v>0</v>
      </c>
      <c r="N119" s="1213"/>
      <c r="O119" s="1213"/>
      <c r="T119" s="273"/>
      <c r="U119" s="274"/>
      <c r="V119" s="275"/>
    </row>
    <row r="120" spans="2:22" ht="14.55" x14ac:dyDescent="0.3">
      <c r="G120" s="491" t="s">
        <v>375</v>
      </c>
      <c r="H120" s="1158">
        <f>IF(Hochbauplanung!T162="ja",Hochbauplanung!J162+Hochbauplanung!F37*Hochbauplanung!J162+L120,0)</f>
        <v>0</v>
      </c>
      <c r="I120" s="1159"/>
      <c r="J120" s="1160">
        <f>IF(Hochbauplanung!T162="ja",Hochbauplanung!R162,0)</f>
        <v>0</v>
      </c>
      <c r="K120" s="1161"/>
      <c r="L120" s="538">
        <f>IF(Hochbauplanung!$B$129=Hochbauplanung!$T$19,Hochbauplanung!I165,0)</f>
        <v>0</v>
      </c>
      <c r="M120" s="538">
        <f>IF(Hochbauplanung!T162="ja",Hochbauplanung!J162+L120,0)</f>
        <v>0</v>
      </c>
      <c r="N120" s="1213"/>
      <c r="O120" s="1213"/>
      <c r="T120" s="273"/>
      <c r="U120" s="274"/>
      <c r="V120" s="275"/>
    </row>
    <row r="121" spans="2:22" ht="14.55" x14ac:dyDescent="0.3">
      <c r="G121" s="491" t="s">
        <v>376</v>
      </c>
      <c r="H121" s="1158">
        <f>IF(Hochbauplanung!T166="ja",Hochbauplanung!J166+Hochbauplanung!F37*Hochbauplanung!J166+L121,0)</f>
        <v>0</v>
      </c>
      <c r="I121" s="1159"/>
      <c r="J121" s="1160">
        <f>IF(Hochbauplanung!T166="ja",Hochbauplanung!R166+Hochbauplanung!R170,0)</f>
        <v>0</v>
      </c>
      <c r="K121" s="1161"/>
      <c r="L121" s="538">
        <f>IF(Hochbauplanung!$B$129=Hochbauplanung!$T$19,Hochbauplanung!I170,0)</f>
        <v>0</v>
      </c>
      <c r="M121" s="538">
        <f>IF(Hochbauplanung!T166="ja",Hochbauplanung!J166+L121,0)</f>
        <v>0</v>
      </c>
      <c r="N121" s="1213"/>
      <c r="O121" s="1213"/>
      <c r="T121" s="273"/>
      <c r="U121" s="274"/>
      <c r="V121" s="275"/>
    </row>
    <row r="122" spans="2:22" ht="14.55" x14ac:dyDescent="0.3">
      <c r="G122" s="492">
        <v>6</v>
      </c>
      <c r="H122" s="1158">
        <f>IF(Hochbauplanung!T172="ja",Hochbauplanung!J172+Hochbauplanung!F37*Hochbauplanung!J172+L122,0)</f>
        <v>0</v>
      </c>
      <c r="I122" s="1159"/>
      <c r="J122" s="1160">
        <f>IF(Hochbauplanung!T172="ja",Hochbauplanung!L197,0)</f>
        <v>0</v>
      </c>
      <c r="K122" s="1161"/>
      <c r="L122" s="538">
        <f>IF(Hochbauplanung!$B$129=Hochbauplanung!$T$19,Hochbauplanung!I171,0)</f>
        <v>0</v>
      </c>
      <c r="M122" s="538">
        <f>IF(Hochbauplanung!T172="ja",Hochbauplanung!J172+L122,0)</f>
        <v>0</v>
      </c>
      <c r="N122" s="1213"/>
      <c r="O122" s="1213"/>
      <c r="T122" s="273"/>
      <c r="U122" s="274"/>
      <c r="V122" s="275"/>
    </row>
    <row r="123" spans="2:22" ht="14.55" x14ac:dyDescent="0.3">
      <c r="G123" s="492">
        <v>7</v>
      </c>
      <c r="H123" s="1158">
        <f>IF(Hochbauplanung!T198="ja",Hochbauplanung!J198+Hochbauplanung!F37*Hochbauplanung!J198+L123,0)</f>
        <v>0</v>
      </c>
      <c r="I123" s="1159"/>
      <c r="J123" s="1160">
        <f>IF(Hochbauplanung!T198="ja",Hochbauplanung!L214,0)</f>
        <v>0</v>
      </c>
      <c r="K123" s="1161"/>
      <c r="L123" s="538">
        <f>IF(Hochbauplanung!$B$129=Hochbauplanung!$T$19,Hochbauplanung!I197,0)</f>
        <v>0</v>
      </c>
      <c r="M123" s="538">
        <f>IF(Hochbauplanung!T198="ja",Hochbauplanung!J198+L123,0)</f>
        <v>0</v>
      </c>
      <c r="N123" s="1213"/>
      <c r="O123" s="1213"/>
      <c r="T123" s="273"/>
      <c r="U123" s="274"/>
      <c r="V123" s="275"/>
    </row>
    <row r="124" spans="2:22" ht="14.55" x14ac:dyDescent="0.3">
      <c r="G124" s="492">
        <v>8</v>
      </c>
      <c r="H124" s="1158">
        <f>IF(Hochbauplanung!T215="ja",Hochbauplanung!J215+Hochbauplanung!F37*Hochbauplanung!J215+L124,0)</f>
        <v>0</v>
      </c>
      <c r="I124" s="1159"/>
      <c r="J124" s="1160">
        <f>IF(Hochbauplanung!T215="ja",Hochbauplanung!L262,0)</f>
        <v>0</v>
      </c>
      <c r="K124" s="1161"/>
      <c r="L124" s="538">
        <f>IF(Hochbauplanung!$B$129=Hochbauplanung!$T$19,Hochbauplanung!I214,0)</f>
        <v>0</v>
      </c>
      <c r="M124" s="538">
        <f>IF(Hochbauplanung!T215="ja",Hochbauplanung!J215+L124,0)</f>
        <v>0</v>
      </c>
      <c r="N124" s="1213"/>
      <c r="O124" s="1213"/>
      <c r="T124" s="273"/>
      <c r="U124" s="274"/>
      <c r="V124" s="275"/>
    </row>
    <row r="125" spans="2:22" ht="15.2" thickBot="1" x14ac:dyDescent="0.35">
      <c r="G125" s="493">
        <v>9</v>
      </c>
      <c r="H125" s="1158">
        <f>IF(Hochbauplanung!T263="ja",Hochbauplanung!J263+Hochbauplanung!F37*Hochbauplanung!J263+L125,0)</f>
        <v>0</v>
      </c>
      <c r="I125" s="1159"/>
      <c r="J125" s="1162">
        <f>IF(Hochbauplanung!T263="ja",Hochbauplanung!L272,0)</f>
        <v>0</v>
      </c>
      <c r="K125" s="1163"/>
      <c r="L125" s="539">
        <f>IF(Hochbauplanung!$B$129=Hochbauplanung!$T$19,Hochbauplanung!I262,0)</f>
        <v>0</v>
      </c>
      <c r="M125" s="539">
        <f>IF(Hochbauplanung!T263="ja",Hochbauplanung!J263+L125,0)</f>
        <v>0</v>
      </c>
      <c r="N125" s="1213"/>
      <c r="O125" s="1213"/>
      <c r="T125" s="273"/>
      <c r="U125" s="274"/>
      <c r="V125" s="275"/>
    </row>
    <row r="126" spans="2:22" ht="15.2" thickBot="1" x14ac:dyDescent="0.35">
      <c r="G126" s="494" t="s">
        <v>377</v>
      </c>
      <c r="H126" s="1216">
        <f>SUM(H112:I125)</f>
        <v>0</v>
      </c>
      <c r="I126" s="1217"/>
      <c r="J126" s="1220">
        <f>SUM(J112:K125)</f>
        <v>0</v>
      </c>
      <c r="K126" s="1221"/>
      <c r="L126" s="540">
        <f>SUM(L112:L125)</f>
        <v>0</v>
      </c>
      <c r="M126" s="541">
        <f>SUM(M112:M125)</f>
        <v>0</v>
      </c>
      <c r="T126" s="273"/>
      <c r="U126" s="274"/>
      <c r="V126" s="275"/>
    </row>
    <row r="127" spans="2:22" ht="14.25" customHeight="1" thickBot="1" x14ac:dyDescent="0.35">
      <c r="G127" s="494"/>
      <c r="H127" s="1214"/>
      <c r="I127" s="1215"/>
      <c r="J127" s="542"/>
      <c r="T127" s="273"/>
      <c r="U127" s="274"/>
      <c r="V127" s="275"/>
    </row>
    <row r="128" spans="2:22" ht="15.2" thickBot="1" x14ac:dyDescent="0.35">
      <c r="K128" s="543"/>
      <c r="T128" s="273"/>
      <c r="U128" s="274"/>
      <c r="V128" s="275"/>
    </row>
    <row r="129" spans="2:22" ht="15.2" thickBot="1" x14ac:dyDescent="0.35">
      <c r="B129" s="1210" t="s">
        <v>378</v>
      </c>
      <c r="C129" s="1211"/>
      <c r="D129" s="1211"/>
      <c r="E129" s="1211"/>
      <c r="F129" s="1211"/>
      <c r="G129" s="1211"/>
      <c r="H129" s="1211"/>
      <c r="I129" s="1211"/>
      <c r="J129" s="1211"/>
      <c r="K129" s="1211"/>
      <c r="L129" s="1211"/>
      <c r="M129" s="1211"/>
      <c r="N129" s="1211"/>
      <c r="O129" s="1211"/>
      <c r="P129" s="1211"/>
      <c r="Q129" s="1212"/>
      <c r="T129" s="273"/>
      <c r="U129" s="274"/>
      <c r="V129" s="275"/>
    </row>
    <row r="130" spans="2:22" ht="15.2" thickBot="1" x14ac:dyDescent="0.35">
      <c r="B130" s="544" t="s">
        <v>115</v>
      </c>
      <c r="C130" s="498" t="s">
        <v>306</v>
      </c>
      <c r="D130" s="499" t="s">
        <v>307</v>
      </c>
      <c r="E130" s="499" t="s">
        <v>308</v>
      </c>
      <c r="F130" s="499" t="s">
        <v>309</v>
      </c>
      <c r="G130" s="499" t="s">
        <v>310</v>
      </c>
      <c r="H130" s="499" t="s">
        <v>311</v>
      </c>
      <c r="I130" s="499" t="s">
        <v>312</v>
      </c>
      <c r="J130" s="499" t="s">
        <v>313</v>
      </c>
      <c r="K130" s="499" t="s">
        <v>314</v>
      </c>
      <c r="L130" s="499" t="s">
        <v>315</v>
      </c>
      <c r="M130" s="499" t="s">
        <v>316</v>
      </c>
      <c r="N130" s="499" t="s">
        <v>317</v>
      </c>
      <c r="O130" s="499" t="s">
        <v>318</v>
      </c>
      <c r="P130" s="499" t="s">
        <v>379</v>
      </c>
      <c r="Q130" s="545" t="s">
        <v>380</v>
      </c>
      <c r="T130" s="273"/>
      <c r="U130" s="274"/>
      <c r="V130" s="275"/>
    </row>
    <row r="131" spans="2:22" ht="14.55" x14ac:dyDescent="0.3">
      <c r="B131" s="501">
        <f>IF(Überblick!$H$53&gt;=1,1,"")</f>
        <v>1</v>
      </c>
      <c r="C131" s="546">
        <f>IF(B131=Hochbauplanung!$U$61,Hochbauplanung!$J$61*Hochbauplanung!$F$37+Hochbauplanung!$J$61+Hochbauplanung!$L$76+Hochbauplanung!$I$60,0)</f>
        <v>0</v>
      </c>
      <c r="D131" s="547">
        <f>IF(B131=Hochbauplanung!$U$77,Hochbauplanung!$J$77*Hochbauplanung!$F$37+Hochbauplanung!$J$77+Hochbauplanung!$L$101+Hochbauplanung!$I$76,0)</f>
        <v>0</v>
      </c>
      <c r="E131" s="547">
        <f>IF(B131=Hochbauplanung!$U$105,Hochbauplanung!$J$105*Hochbauplanung!$F$37+Hochbauplanung!$J$105+Hochbauplanung!$L$129+Hochbauplanung!$I$104,0)</f>
        <v>0</v>
      </c>
      <c r="F131" s="547">
        <f>IF(B131=Hochbauplanung!$U$133,Hochbauplanung!$J$133*Hochbauplanung!$F$37+Hochbauplanung!$J$133+Hochbauplanung!$L$142+$L$115,0)</f>
        <v>0</v>
      </c>
      <c r="G131" s="547">
        <f>IF(B131=Hochbauplanung!$U$143,Hochbauplanung!$J$143*Hochbauplanung!$F$37+Hochbauplanung!$J$143+Hochbauplanung!$R$143+$L$116,0)</f>
        <v>0</v>
      </c>
      <c r="H131" s="547">
        <f>IF(B131=Hochbauplanung!$U$149,Hochbauplanung!$J$149*Hochbauplanung!$F$37+Hochbauplanung!$J$149+Hochbauplanung!$R$149+$L$117,0)</f>
        <v>0</v>
      </c>
      <c r="I131" s="547">
        <f>IF(B131=Hochbauplanung!$U$156,Hochbauplanung!$J$156*Hochbauplanung!$F$37+Hochbauplanung!$J$156+Hochbauplanung!$R$156+$L$118,0)</f>
        <v>0</v>
      </c>
      <c r="J131" s="547">
        <f>IF(B131=Hochbauplanung!$U$160,Hochbauplanung!$J$160*Hochbauplanung!$F$37+Hochbauplanung!$J$160+Hochbauplanung!$R$161+$L$119,0)</f>
        <v>0</v>
      </c>
      <c r="K131" s="547">
        <f>IF(B131=Hochbauplanung!$U$162,Hochbauplanung!$J$162*Hochbauplanung!$F$37+Hochbauplanung!$J$162+Hochbauplanung!$R$162+$L$120,0)</f>
        <v>0</v>
      </c>
      <c r="L131" s="547">
        <f>IF(B131=Hochbauplanung!$U$166,Hochbauplanung!$J$166*Hochbauplanung!$F$37+Hochbauplanung!$J$166+Hochbauplanung!$R$166+Hochbauplanung!$R$170+$L$121,0)</f>
        <v>0</v>
      </c>
      <c r="M131" s="547">
        <f>IF(B131=Hochbauplanung!$U$172,Hochbauplanung!$J$172*Hochbauplanung!$F$37+Hochbauplanung!$J$172+Hochbauplanung!$L$197+$L$122,0)</f>
        <v>0</v>
      </c>
      <c r="N131" s="547">
        <f>IF(B131=Hochbauplanung!$U$198,Hochbauplanung!$J$198*Hochbauplanung!$F$37+Hochbauplanung!$J$198+Hochbauplanung!$L$214+$L$123,0)</f>
        <v>0</v>
      </c>
      <c r="O131" s="547">
        <f>IF(B131=Hochbauplanung!$U$215,Hochbauplanung!$J$215*Hochbauplanung!$F$37+Hochbauplanung!$J$215+Hochbauplanung!$L$262+$L$124,0)</f>
        <v>0</v>
      </c>
      <c r="P131" s="548">
        <f>IF(B131=Hochbauplanung!$U$263,Hochbauplanung!$J$263*Hochbauplanung!$F$37+Hochbauplanung!$J$263+Hochbauplanung!$L$272+$L$125,0)</f>
        <v>0</v>
      </c>
      <c r="Q131" s="549">
        <f t="shared" ref="Q131:Q138" si="7">SUM(C131:P131)</f>
        <v>0</v>
      </c>
      <c r="T131" s="273"/>
      <c r="U131" s="274"/>
      <c r="V131" s="275"/>
    </row>
    <row r="132" spans="2:22" ht="14.55" x14ac:dyDescent="0.3">
      <c r="B132" s="505">
        <f>IF(Überblick!$H$53&gt;=2,2,"")</f>
        <v>2</v>
      </c>
      <c r="C132" s="550">
        <f>IF(B132=Hochbauplanung!$U$61,Hochbauplanung!$J$61*Hochbauplanung!$F$37+Hochbauplanung!$J$61+Hochbauplanung!$L$76+Hochbauplanung!$I$60,0)</f>
        <v>0</v>
      </c>
      <c r="D132" s="551">
        <f>IF(B132=Hochbauplanung!$U$77,Hochbauplanung!$J$77*Hochbauplanung!$F$37+Hochbauplanung!$J$77+Hochbauplanung!$L$101+Hochbauplanung!$I$76,0)</f>
        <v>0</v>
      </c>
      <c r="E132" s="551">
        <f>IF(B132=Hochbauplanung!$U$105,Hochbauplanung!$J$105*Hochbauplanung!$F$37+Hochbauplanung!$J$105+Hochbauplanung!$L$129+Hochbauplanung!$I$104,0)</f>
        <v>0</v>
      </c>
      <c r="F132" s="551">
        <f>IF(B132=Hochbauplanung!$U$133,Hochbauplanung!$J$133*Hochbauplanung!$F$37+Hochbauplanung!$J$133+Hochbauplanung!$L$142+$L$115,0)</f>
        <v>0</v>
      </c>
      <c r="G132" s="551">
        <f>IF(B132=Hochbauplanung!$U$143,Hochbauplanung!$J$143*Hochbauplanung!$F$37+Hochbauplanung!$J$143+Hochbauplanung!$R$143+$L$116,0)</f>
        <v>0</v>
      </c>
      <c r="H132" s="551">
        <f>IF(B132=Hochbauplanung!$U$149,Hochbauplanung!$J$149*Hochbauplanung!$F$37+Hochbauplanung!$J$149+Hochbauplanung!$R$149+$L$117,0)</f>
        <v>0</v>
      </c>
      <c r="I132" s="551">
        <f>IF(B132=Hochbauplanung!$U$156,Hochbauplanung!$J$156*Hochbauplanung!$F$37+Hochbauplanung!$J$156+Hochbauplanung!$R$156+$L$118,0)</f>
        <v>0</v>
      </c>
      <c r="J132" s="551">
        <f>IF(B132=Hochbauplanung!$U$160,Hochbauplanung!$J$160*Hochbauplanung!$F$37+Hochbauplanung!$J$160+Hochbauplanung!$R$161+$L$119,0)</f>
        <v>0</v>
      </c>
      <c r="K132" s="551">
        <f>IF(B132=Hochbauplanung!$U$162,Hochbauplanung!$J$162*Hochbauplanung!$F$37+Hochbauplanung!$J$162+Hochbauplanung!$R$162+$L$120,0)</f>
        <v>0</v>
      </c>
      <c r="L132" s="551">
        <f>IF(B132=Hochbauplanung!$U$166,Hochbauplanung!$J$166*Hochbauplanung!$F$37+Hochbauplanung!$J$166+Hochbauplanung!$R$166+Hochbauplanung!$R$170+$L$121,0)</f>
        <v>0</v>
      </c>
      <c r="M132" s="551">
        <f>IF(B132=Hochbauplanung!$U$172,Hochbauplanung!$J$172*Hochbauplanung!$F$37+Hochbauplanung!$J$172+Hochbauplanung!$L$197+$L$122,0)</f>
        <v>0</v>
      </c>
      <c r="N132" s="551">
        <f>IF(B132=Hochbauplanung!$U$198,Hochbauplanung!$J$198*Hochbauplanung!$F$37+Hochbauplanung!$J$198+Hochbauplanung!$L$214+$L$123,0)</f>
        <v>0</v>
      </c>
      <c r="O132" s="551">
        <f>IF(B132=Hochbauplanung!$U$215,Hochbauplanung!$J$215*Hochbauplanung!$F$37+Hochbauplanung!$J$215+Hochbauplanung!$L$262+$L$124,0)</f>
        <v>0</v>
      </c>
      <c r="P132" s="552">
        <f>IF(B132=Hochbauplanung!$U$263,Hochbauplanung!$J$263*Hochbauplanung!$F$37+Hochbauplanung!$J$263+Hochbauplanung!$L$272+$L$125,0)</f>
        <v>0</v>
      </c>
      <c r="Q132" s="553">
        <f t="shared" si="7"/>
        <v>0</v>
      </c>
      <c r="T132" s="273"/>
      <c r="U132" s="274"/>
      <c r="V132" s="275"/>
    </row>
    <row r="133" spans="2:22" ht="14.55" x14ac:dyDescent="0.3">
      <c r="B133" s="505">
        <f>IF(Überblick!$H$53&gt;=3,3,"")</f>
        <v>3</v>
      </c>
      <c r="C133" s="550">
        <f>IF(B133=Hochbauplanung!$U$61,Hochbauplanung!$J$61*Hochbauplanung!$F$37+Hochbauplanung!$J$61+Hochbauplanung!$L$76+Hochbauplanung!$I$60,0)</f>
        <v>0</v>
      </c>
      <c r="D133" s="551">
        <f>IF(B133=Hochbauplanung!$U$77,Hochbauplanung!$J$77*Hochbauplanung!$F$37+Hochbauplanung!$J$77+Hochbauplanung!$L$101+Hochbauplanung!$I$76,0)</f>
        <v>0</v>
      </c>
      <c r="E133" s="551">
        <f>IF(B133=Hochbauplanung!$U$105,Hochbauplanung!$J$105*Hochbauplanung!$F$37+Hochbauplanung!$J$105+Hochbauplanung!$L$129+Hochbauplanung!$I$104,0)</f>
        <v>0</v>
      </c>
      <c r="F133" s="551">
        <f>IF(B133=Hochbauplanung!$U$133,Hochbauplanung!$J$133*Hochbauplanung!$F$37+Hochbauplanung!$J$133+Hochbauplanung!$L$142+$L$115,0)</f>
        <v>0</v>
      </c>
      <c r="G133" s="551">
        <f>IF(B133=Hochbauplanung!$U$143,Hochbauplanung!$J$143*Hochbauplanung!$F$37+Hochbauplanung!$J$143+Hochbauplanung!$R$143+$L$116,0)</f>
        <v>0</v>
      </c>
      <c r="H133" s="551">
        <f>IF(B133=Hochbauplanung!$U$149,Hochbauplanung!$J$149*Hochbauplanung!$F$37+Hochbauplanung!$J$149+Hochbauplanung!$R$149+$L$117,0)</f>
        <v>0</v>
      </c>
      <c r="I133" s="551">
        <f>IF(B133=Hochbauplanung!$U$156,Hochbauplanung!$J$156*Hochbauplanung!$F$37+Hochbauplanung!$J$156+Hochbauplanung!$R$156+$L$118,0)</f>
        <v>0</v>
      </c>
      <c r="J133" s="551">
        <f>IF(B133=Hochbauplanung!$U$160,Hochbauplanung!$J$160*Hochbauplanung!$F$37+Hochbauplanung!$J$160+Hochbauplanung!$R$161+$L$119,0)</f>
        <v>0</v>
      </c>
      <c r="K133" s="551">
        <f>IF(B133=Hochbauplanung!$U$162,Hochbauplanung!$J$162*Hochbauplanung!$F$37+Hochbauplanung!$J$162+Hochbauplanung!$R$162+$L$120,0)</f>
        <v>0</v>
      </c>
      <c r="L133" s="551">
        <f>IF(B133=Hochbauplanung!$U$166,Hochbauplanung!$J$166*Hochbauplanung!$F$37+Hochbauplanung!$J$166+Hochbauplanung!$R$166+Hochbauplanung!$R$170+$L$121,0)</f>
        <v>0</v>
      </c>
      <c r="M133" s="551">
        <f>IF(B133=Hochbauplanung!$U$172,Hochbauplanung!$J$172*Hochbauplanung!$F$37+Hochbauplanung!$J$172+Hochbauplanung!$L$197+$L$122,0)</f>
        <v>0</v>
      </c>
      <c r="N133" s="551">
        <f>IF(B133=Hochbauplanung!$U$198,Hochbauplanung!$J$198*Hochbauplanung!$F$37+Hochbauplanung!$J$198+Hochbauplanung!$L$214+$L$123,0)</f>
        <v>0</v>
      </c>
      <c r="O133" s="551">
        <f>IF(B133=Hochbauplanung!$U$215,Hochbauplanung!$J$215*Hochbauplanung!$F$37+Hochbauplanung!$J$215+Hochbauplanung!$L$262+$L$124,0)</f>
        <v>0</v>
      </c>
      <c r="P133" s="552">
        <f>IF(B133=Hochbauplanung!$U$263,Hochbauplanung!$J$263*Hochbauplanung!$F$37+Hochbauplanung!$J$263+Hochbauplanung!$L$272+$L$125,0)</f>
        <v>0</v>
      </c>
      <c r="Q133" s="553">
        <f t="shared" si="7"/>
        <v>0</v>
      </c>
      <c r="T133" s="273"/>
      <c r="U133" s="274"/>
      <c r="V133" s="275"/>
    </row>
    <row r="134" spans="2:22" ht="14.55" x14ac:dyDescent="0.3">
      <c r="B134" s="505" t="str">
        <f>IF(Überblick!$H$53&gt;=4,4,"")</f>
        <v/>
      </c>
      <c r="C134" s="550">
        <f>IF(B134=Hochbauplanung!$U$61,Hochbauplanung!$J$61*Hochbauplanung!$F$37+Hochbauplanung!$J$61+Hochbauplanung!$L$76+Hochbauplanung!$I$60,0)</f>
        <v>0</v>
      </c>
      <c r="D134" s="551">
        <f>IF(B134=Hochbauplanung!$U$77,Hochbauplanung!$J$77*Hochbauplanung!$F$37+Hochbauplanung!$J$77+Hochbauplanung!$L$101+Hochbauplanung!$I$76,0)</f>
        <v>0</v>
      </c>
      <c r="E134" s="551">
        <f>IF(B134=Hochbauplanung!$U$105,Hochbauplanung!$J$105*Hochbauplanung!$F$37+Hochbauplanung!$J$105+Hochbauplanung!$L$129+Hochbauplanung!$I$104,0)</f>
        <v>0</v>
      </c>
      <c r="F134" s="551">
        <f>IF(B134=Hochbauplanung!$U$133,Hochbauplanung!$J$133*Hochbauplanung!$F$37+Hochbauplanung!$J$133+Hochbauplanung!$L$142+$L$115,0)</f>
        <v>0</v>
      </c>
      <c r="G134" s="551">
        <f>IF(B134=Hochbauplanung!$U$143,Hochbauplanung!$J$143*Hochbauplanung!$F$37+Hochbauplanung!$J$143+Hochbauplanung!$R$143+$L$116,0)</f>
        <v>0</v>
      </c>
      <c r="H134" s="551">
        <f>IF(B134=Hochbauplanung!$U$149,Hochbauplanung!$J$149*Hochbauplanung!$F$37+Hochbauplanung!$J$149+Hochbauplanung!$R$149+$L$117,0)</f>
        <v>0</v>
      </c>
      <c r="I134" s="551">
        <f>IF(B134=Hochbauplanung!$U$156,Hochbauplanung!$J$156*Hochbauplanung!$F$37+Hochbauplanung!$J$156+Hochbauplanung!$R$156+$L$118,0)</f>
        <v>0</v>
      </c>
      <c r="J134" s="551">
        <f>IF(B134=Hochbauplanung!$U$160,Hochbauplanung!$J$160*Hochbauplanung!$F$37+Hochbauplanung!$J$160+Hochbauplanung!$R$161+$L$119,0)</f>
        <v>0</v>
      </c>
      <c r="K134" s="551">
        <f>IF(B134=Hochbauplanung!$U$162,Hochbauplanung!$J$162*Hochbauplanung!$F$37+Hochbauplanung!$J$162+Hochbauplanung!$R$162+$L$120,0)</f>
        <v>0</v>
      </c>
      <c r="L134" s="551">
        <f>IF(B134=Hochbauplanung!$U$166,Hochbauplanung!$J$166*Hochbauplanung!$F$37+Hochbauplanung!$J$166+Hochbauplanung!$R$166+Hochbauplanung!$R$170+$L$121,0)</f>
        <v>0</v>
      </c>
      <c r="M134" s="551">
        <f>IF(B134=Hochbauplanung!$U$172,Hochbauplanung!$J$172*Hochbauplanung!$F$37+Hochbauplanung!$J$172+Hochbauplanung!$L$197+$L$122,0)</f>
        <v>0</v>
      </c>
      <c r="N134" s="551">
        <f>IF(B134=Hochbauplanung!$U$198,Hochbauplanung!$J$198*Hochbauplanung!$F$37+Hochbauplanung!$J$198+Hochbauplanung!$L$214+$L$123,0)</f>
        <v>0</v>
      </c>
      <c r="O134" s="551">
        <f>IF(B134=Hochbauplanung!$U$215,Hochbauplanung!$J$215*Hochbauplanung!$F$37+Hochbauplanung!$J$215+Hochbauplanung!$L$262+$L$124,0)</f>
        <v>0</v>
      </c>
      <c r="P134" s="552">
        <f>IF(B134=Hochbauplanung!$U$263,Hochbauplanung!$J$263*Hochbauplanung!$F$37+Hochbauplanung!$J$263+Hochbauplanung!$L$272+$L$125,0)</f>
        <v>0</v>
      </c>
      <c r="Q134" s="553">
        <f>SUM(C134:P134)</f>
        <v>0</v>
      </c>
      <c r="T134" s="273"/>
      <c r="U134" s="274"/>
      <c r="V134" s="275"/>
    </row>
    <row r="135" spans="2:22" ht="14.55" x14ac:dyDescent="0.3">
      <c r="B135" s="505" t="str">
        <f>IF(Überblick!$H$53&gt;=5,5,"")</f>
        <v/>
      </c>
      <c r="C135" s="550">
        <f>IF(B135=Hochbauplanung!$U$61,Hochbauplanung!$J$61*Hochbauplanung!$F$37+Hochbauplanung!$J$61+Hochbauplanung!$L$76+Hochbauplanung!$I$60,0)</f>
        <v>0</v>
      </c>
      <c r="D135" s="551">
        <f>IF(B135=Hochbauplanung!$U$77,Hochbauplanung!$J$77*Hochbauplanung!$F$37+Hochbauplanung!$J$77+Hochbauplanung!$L$101+Hochbauplanung!$I$76,0)</f>
        <v>0</v>
      </c>
      <c r="E135" s="551">
        <f>IF(B135=Hochbauplanung!$U$105,Hochbauplanung!$J$105*Hochbauplanung!$F$37+Hochbauplanung!$J$105+Hochbauplanung!$L$129+Hochbauplanung!$I$104,0)</f>
        <v>0</v>
      </c>
      <c r="F135" s="551">
        <f>IF(B135=Hochbauplanung!$U$133,Hochbauplanung!$J$133*Hochbauplanung!$F$37+Hochbauplanung!$J$133+Hochbauplanung!$L$142+$L$115,0)</f>
        <v>0</v>
      </c>
      <c r="G135" s="551">
        <f>IF(B135=Hochbauplanung!$U$143,Hochbauplanung!$J$143*Hochbauplanung!$F$37+Hochbauplanung!$J$143+Hochbauplanung!$R$143+$L$116,0)</f>
        <v>0</v>
      </c>
      <c r="H135" s="551">
        <f>IF(B135=Hochbauplanung!$U$149,Hochbauplanung!$J$149*Hochbauplanung!$F$37+Hochbauplanung!$J$149+Hochbauplanung!$R$149+$L$117,0)</f>
        <v>0</v>
      </c>
      <c r="I135" s="551">
        <f>IF(B135=Hochbauplanung!$U$156,Hochbauplanung!$J$156*Hochbauplanung!$F$37+Hochbauplanung!$J$156+Hochbauplanung!$R$156+$L$118,0)</f>
        <v>0</v>
      </c>
      <c r="J135" s="551">
        <f>IF(B135=Hochbauplanung!$U$160,Hochbauplanung!$J$160*Hochbauplanung!$F$37+Hochbauplanung!$J$160+Hochbauplanung!$R$161+$L$119,0)</f>
        <v>0</v>
      </c>
      <c r="K135" s="551">
        <f>IF(B135=Hochbauplanung!$U$162,Hochbauplanung!$J$162*Hochbauplanung!$F$37+Hochbauplanung!$J$162+Hochbauplanung!$R$162+$L$120,0)</f>
        <v>0</v>
      </c>
      <c r="L135" s="551">
        <f>IF(B135=Hochbauplanung!$U$166,Hochbauplanung!$J$166*Hochbauplanung!$F$37+Hochbauplanung!$J$166+Hochbauplanung!$R$166+Hochbauplanung!$R$170+$L$121,0)</f>
        <v>0</v>
      </c>
      <c r="M135" s="551">
        <f>IF(B135=Hochbauplanung!$U$172,Hochbauplanung!$J$172*Hochbauplanung!$F$37+Hochbauplanung!$J$172+Hochbauplanung!$L$197+$L$122,0)</f>
        <v>0</v>
      </c>
      <c r="N135" s="551">
        <f>IF(B135=Hochbauplanung!$U$198,Hochbauplanung!$J$198*Hochbauplanung!$F$37+Hochbauplanung!$J$198+Hochbauplanung!$L$214+$L$123,0)</f>
        <v>0</v>
      </c>
      <c r="O135" s="551">
        <f>IF(B135=Hochbauplanung!$U$215,Hochbauplanung!$J$215*Hochbauplanung!$F$37+Hochbauplanung!$J$215+Hochbauplanung!$L$262+$L$124,0)</f>
        <v>0</v>
      </c>
      <c r="P135" s="552">
        <f>IF(B135=Hochbauplanung!$U$263,Hochbauplanung!$J$263*Hochbauplanung!$F$37+Hochbauplanung!$J$263+Hochbauplanung!$L$272+$L$125,0)</f>
        <v>0</v>
      </c>
      <c r="Q135" s="553">
        <f t="shared" si="7"/>
        <v>0</v>
      </c>
      <c r="T135" s="273"/>
      <c r="U135" s="274"/>
      <c r="V135" s="275"/>
    </row>
    <row r="136" spans="2:22" ht="14.55" x14ac:dyDescent="0.3">
      <c r="B136" s="505" t="str">
        <f>IF(Überblick!$H$53&gt;=6,6,"")</f>
        <v/>
      </c>
      <c r="C136" s="550">
        <f>IF(B136=Hochbauplanung!$U$61,Hochbauplanung!$J$61*Hochbauplanung!$F$37+Hochbauplanung!$J$61+Hochbauplanung!$L$76+Hochbauplanung!$I$60,0)</f>
        <v>0</v>
      </c>
      <c r="D136" s="551">
        <f>IF(B136=Hochbauplanung!$U$77,Hochbauplanung!$J$77*Hochbauplanung!$F$37+Hochbauplanung!$J$77+Hochbauplanung!$L$101+Hochbauplanung!$I$76,0)</f>
        <v>0</v>
      </c>
      <c r="E136" s="551">
        <f>IF(B136=Hochbauplanung!$U$105,Hochbauplanung!$J$105*Hochbauplanung!$F$37+Hochbauplanung!$J$105+Hochbauplanung!$L$129+Hochbauplanung!$I$104,0)</f>
        <v>0</v>
      </c>
      <c r="F136" s="551">
        <f>IF(B136=Hochbauplanung!$U$133,Hochbauplanung!$J$133*Hochbauplanung!$F$37+Hochbauplanung!$J$133+Hochbauplanung!$L$142+$L$115,0)</f>
        <v>0</v>
      </c>
      <c r="G136" s="551">
        <f>IF(B136=Hochbauplanung!$U$143,Hochbauplanung!$J$143*Hochbauplanung!$F$37+Hochbauplanung!$J$143+Hochbauplanung!$R$143+$L$116,0)</f>
        <v>0</v>
      </c>
      <c r="H136" s="551">
        <f>IF(B136=Hochbauplanung!$U$149,Hochbauplanung!$J$149*Hochbauplanung!$F$37+Hochbauplanung!$J$149+Hochbauplanung!$R$149+$L$117,0)</f>
        <v>0</v>
      </c>
      <c r="I136" s="551">
        <f>IF(B136=Hochbauplanung!$U$156,Hochbauplanung!$J$156*Hochbauplanung!$F$37+Hochbauplanung!$J$156+Hochbauplanung!$R$156+$L$118,0)</f>
        <v>0</v>
      </c>
      <c r="J136" s="551">
        <f>IF(B136=Hochbauplanung!$U$160,Hochbauplanung!$J$160*Hochbauplanung!$F$37+Hochbauplanung!$J$160+Hochbauplanung!$R$161+$L$119,0)</f>
        <v>0</v>
      </c>
      <c r="K136" s="551">
        <f>IF(B136=Hochbauplanung!$U$162,Hochbauplanung!$J$162*Hochbauplanung!$F$37+Hochbauplanung!$J$162+Hochbauplanung!$R$162+$L$120,0)</f>
        <v>0</v>
      </c>
      <c r="L136" s="551">
        <f>IF(B136=Hochbauplanung!$U$166,Hochbauplanung!$J$166*Hochbauplanung!$F$37+Hochbauplanung!$J$166+Hochbauplanung!$R$166+Hochbauplanung!$R$170+$L$121,0)</f>
        <v>0</v>
      </c>
      <c r="M136" s="551">
        <f>IF(B136=Hochbauplanung!$U$172,Hochbauplanung!$J$172*Hochbauplanung!$F$37+Hochbauplanung!$J$172+Hochbauplanung!$L$197+$L$122,0)</f>
        <v>0</v>
      </c>
      <c r="N136" s="551">
        <f>IF(B136=Hochbauplanung!$U$198,Hochbauplanung!$J$198*Hochbauplanung!$F$37+Hochbauplanung!$J$198+Hochbauplanung!$L$214+$L$123,0)</f>
        <v>0</v>
      </c>
      <c r="O136" s="551">
        <f>IF(B136=Hochbauplanung!$U$215,Hochbauplanung!$J$215*Hochbauplanung!$F$37+Hochbauplanung!$J$215+Hochbauplanung!$L$262+$L$124,0)</f>
        <v>0</v>
      </c>
      <c r="P136" s="552">
        <f>IF(B136=Hochbauplanung!$U$263,Hochbauplanung!$J$263*Hochbauplanung!$F$37+Hochbauplanung!$J$263+Hochbauplanung!$L$272+$L$125,0)</f>
        <v>0</v>
      </c>
      <c r="Q136" s="553">
        <f t="shared" si="7"/>
        <v>0</v>
      </c>
      <c r="T136" s="273"/>
      <c r="U136" s="274"/>
      <c r="V136" s="275"/>
    </row>
    <row r="137" spans="2:22" ht="14.55" x14ac:dyDescent="0.3">
      <c r="B137" s="505" t="str">
        <f>IF(Überblick!$H$53&gt;=7,7,"")</f>
        <v/>
      </c>
      <c r="C137" s="550">
        <f>IF(B137=Hochbauplanung!$U$61,Hochbauplanung!$J$61*Hochbauplanung!$F$37+Hochbauplanung!$J$61+Hochbauplanung!$L$76+Hochbauplanung!$I$60,0)</f>
        <v>0</v>
      </c>
      <c r="D137" s="551">
        <f>IF(B137=Hochbauplanung!$U$77,Hochbauplanung!$J$77*Hochbauplanung!$F$37+Hochbauplanung!$J$77+Hochbauplanung!$L$101+Hochbauplanung!$I$76,0)</f>
        <v>0</v>
      </c>
      <c r="E137" s="551">
        <f>IF(B137=Hochbauplanung!$U$105,Hochbauplanung!$J$105*Hochbauplanung!$F$37+Hochbauplanung!$J$105+Hochbauplanung!$L$129+Hochbauplanung!$I$104,0)</f>
        <v>0</v>
      </c>
      <c r="F137" s="551">
        <f>IF(B137=Hochbauplanung!$U$133,Hochbauplanung!$J$133*Hochbauplanung!$F$37+Hochbauplanung!$J$133+Hochbauplanung!$L$142+$L$115,0)</f>
        <v>0</v>
      </c>
      <c r="G137" s="551">
        <f>IF(B137=Hochbauplanung!$U$143,Hochbauplanung!$J$143*Hochbauplanung!$F$37+Hochbauplanung!$J$143+Hochbauplanung!$R$143+$L$116,0)</f>
        <v>0</v>
      </c>
      <c r="H137" s="551">
        <f>IF(B137=Hochbauplanung!$U$149,Hochbauplanung!$J$149*Hochbauplanung!$F$37+Hochbauplanung!$J$149+Hochbauplanung!$R$149+$L$117,0)</f>
        <v>0</v>
      </c>
      <c r="I137" s="551">
        <f>IF(B137=Hochbauplanung!$U$156,Hochbauplanung!$J$156*Hochbauplanung!$F$37+Hochbauplanung!$J$156+Hochbauplanung!$R$156+$L$118,0)</f>
        <v>0</v>
      </c>
      <c r="J137" s="551">
        <f>IF(B137=Hochbauplanung!$U$160,Hochbauplanung!$J$160*Hochbauplanung!$F$37+Hochbauplanung!$J$160+Hochbauplanung!$R$161+$L$119,0)</f>
        <v>0</v>
      </c>
      <c r="K137" s="551">
        <f>IF(B137=Hochbauplanung!$U$162,Hochbauplanung!$J$162*Hochbauplanung!$F$37+Hochbauplanung!$J$162+Hochbauplanung!$R$162+$L$120,0)</f>
        <v>0</v>
      </c>
      <c r="L137" s="551">
        <f>IF(B137=Hochbauplanung!$U$166,Hochbauplanung!$J$166*Hochbauplanung!$F$37+Hochbauplanung!$J$166+Hochbauplanung!$R$166+Hochbauplanung!$R$170+$L$121,0)</f>
        <v>0</v>
      </c>
      <c r="M137" s="551">
        <f>IF(B137=Hochbauplanung!$U$172,Hochbauplanung!$J$172*Hochbauplanung!$F$37+Hochbauplanung!$J$172+Hochbauplanung!$L$197+$L$122,0)</f>
        <v>0</v>
      </c>
      <c r="N137" s="551">
        <f>IF(B137=Hochbauplanung!$U$198,Hochbauplanung!$J$198*Hochbauplanung!$F$37+Hochbauplanung!$J$198+Hochbauplanung!$L$214+$L$123,0)</f>
        <v>0</v>
      </c>
      <c r="O137" s="551">
        <f>IF(B137=Hochbauplanung!$U$215,Hochbauplanung!$J$215*Hochbauplanung!$F$37+Hochbauplanung!$J$215+Hochbauplanung!$L$262+$L$124,0)</f>
        <v>0</v>
      </c>
      <c r="P137" s="552">
        <f>IF(B137=Hochbauplanung!$U$263,Hochbauplanung!$J$263*Hochbauplanung!$F$37+Hochbauplanung!$J$263+Hochbauplanung!$L$272+$L$125,0)</f>
        <v>0</v>
      </c>
      <c r="Q137" s="553">
        <f t="shared" si="7"/>
        <v>0</v>
      </c>
      <c r="T137" s="273"/>
      <c r="U137" s="274"/>
      <c r="V137" s="275"/>
    </row>
    <row r="138" spans="2:22" ht="14.55" x14ac:dyDescent="0.3">
      <c r="B138" s="505" t="str">
        <f>IF(Überblick!$H$53&gt;=8,8,"")</f>
        <v/>
      </c>
      <c r="C138" s="550">
        <f>IF(B138=Hochbauplanung!$U$61,Hochbauplanung!$J$61*Hochbauplanung!$F$37+Hochbauplanung!$J$61+Hochbauplanung!$L$76+Hochbauplanung!$I$60,0)</f>
        <v>0</v>
      </c>
      <c r="D138" s="551">
        <f>IF(B138=Hochbauplanung!$U$77,Hochbauplanung!$J$77*Hochbauplanung!$F$37+Hochbauplanung!$J$77+Hochbauplanung!$L$101+Hochbauplanung!$I$76,0)</f>
        <v>0</v>
      </c>
      <c r="E138" s="551">
        <f>IF(B138=Hochbauplanung!$U$105,Hochbauplanung!$J$105*Hochbauplanung!$F$37+Hochbauplanung!$J$105+Hochbauplanung!$L$129+Hochbauplanung!$I$104,0)</f>
        <v>0</v>
      </c>
      <c r="F138" s="551">
        <f>IF(B138=Hochbauplanung!$U$133,Hochbauplanung!$J$133*Hochbauplanung!$F$37+Hochbauplanung!$J$133+Hochbauplanung!$L$142+$L$115,0)</f>
        <v>0</v>
      </c>
      <c r="G138" s="551">
        <f>IF(B138=Hochbauplanung!$U$143,Hochbauplanung!$J$143*Hochbauplanung!$F$37+Hochbauplanung!$J$143+Hochbauplanung!$R$143+$L$116,0)</f>
        <v>0</v>
      </c>
      <c r="H138" s="551">
        <f>IF(B138=Hochbauplanung!$U$149,Hochbauplanung!$J$149*Hochbauplanung!$F$37+Hochbauplanung!$J$149+Hochbauplanung!$R$149+$L$117,0)</f>
        <v>0</v>
      </c>
      <c r="I138" s="551">
        <f>IF(B138=Hochbauplanung!$U$156,Hochbauplanung!$J$156*Hochbauplanung!$F$37+Hochbauplanung!$J$156+Hochbauplanung!$R$156+$L$118,0)</f>
        <v>0</v>
      </c>
      <c r="J138" s="551">
        <f>IF(B138=Hochbauplanung!$U$160,Hochbauplanung!$J$160*Hochbauplanung!$F$37+Hochbauplanung!$J$160+Hochbauplanung!$R$161+$L$119,0)</f>
        <v>0</v>
      </c>
      <c r="K138" s="551">
        <f>IF(B138=Hochbauplanung!$U$162,Hochbauplanung!$J$162*Hochbauplanung!$F$37+Hochbauplanung!$J$162+Hochbauplanung!$R$162+$L$120,0)</f>
        <v>0</v>
      </c>
      <c r="L138" s="551">
        <f>IF(B138=Hochbauplanung!$U$166,Hochbauplanung!$J$166*Hochbauplanung!$F$37+Hochbauplanung!$J$166+Hochbauplanung!$R$166+Hochbauplanung!$R$170+$L$121,0)</f>
        <v>0</v>
      </c>
      <c r="M138" s="551">
        <f>IF(B138=Hochbauplanung!$U$172,Hochbauplanung!$J$172*Hochbauplanung!$F$37+Hochbauplanung!$J$172+Hochbauplanung!$L$197+$L$122,0)</f>
        <v>0</v>
      </c>
      <c r="N138" s="551">
        <f>IF(B138=Hochbauplanung!$U$198,Hochbauplanung!$J$198*Hochbauplanung!$F$37+Hochbauplanung!$J$198+Hochbauplanung!$L$214+$L$123,0)</f>
        <v>0</v>
      </c>
      <c r="O138" s="551">
        <f>IF(B138=Hochbauplanung!$U$215,Hochbauplanung!$J$215*Hochbauplanung!$F$37+Hochbauplanung!$J$215+Hochbauplanung!$L$262+$L$124,0)</f>
        <v>0</v>
      </c>
      <c r="P138" s="552">
        <f>IF(B138=Hochbauplanung!$U$263,Hochbauplanung!$J$263*Hochbauplanung!$F$37+Hochbauplanung!$J$263+Hochbauplanung!$L$272+$L$125,0)</f>
        <v>0</v>
      </c>
      <c r="Q138" s="554">
        <f t="shared" si="7"/>
        <v>0</v>
      </c>
      <c r="T138" s="273"/>
      <c r="U138" s="274"/>
      <c r="V138" s="275"/>
    </row>
    <row r="139" spans="2:22" ht="15.2" thickBot="1" x14ac:dyDescent="0.35">
      <c r="B139" s="509" t="str">
        <f>IF(Überblick!$H$53&gt;=9,9,"")</f>
        <v/>
      </c>
      <c r="C139" s="555">
        <f>IF(B139=Hochbauplanung!$U$61,Hochbauplanung!$J$61*Hochbauplanung!$F$37+Hochbauplanung!$J$61+Hochbauplanung!$L$76+Hochbauplanung!$I$60,0)</f>
        <v>0</v>
      </c>
      <c r="D139" s="556">
        <f>IF(B139=Hochbauplanung!$U$77,Hochbauplanung!$J$77*Hochbauplanung!$F$37+Hochbauplanung!$J$77+Hochbauplanung!$L$101+Hochbauplanung!$I$76,0)</f>
        <v>0</v>
      </c>
      <c r="E139" s="556">
        <f>IF(B139=Hochbauplanung!$U$105,Hochbauplanung!$J$105*Hochbauplanung!$F$37+Hochbauplanung!$J$105+Hochbauplanung!$L$129+Hochbauplanung!$I$104,0)</f>
        <v>0</v>
      </c>
      <c r="F139" s="556">
        <f>IF(B139=Hochbauplanung!$U$133,Hochbauplanung!$J$133*Hochbauplanung!$F$37+Hochbauplanung!$J$133+Hochbauplanung!$L$142+$L$115,0)</f>
        <v>0</v>
      </c>
      <c r="G139" s="556">
        <f>IF(B139=Hochbauplanung!$U$143,Hochbauplanung!$J$143*Hochbauplanung!$F$37+Hochbauplanung!$J$143+Hochbauplanung!$R$143+$L$116,0)</f>
        <v>0</v>
      </c>
      <c r="H139" s="556">
        <f>IF(B139=Hochbauplanung!$U$149,Hochbauplanung!$J$149*Hochbauplanung!$F$37+Hochbauplanung!$J$149+Hochbauplanung!$R$149+$L$117,0)</f>
        <v>0</v>
      </c>
      <c r="I139" s="556">
        <f>IF(B139=Hochbauplanung!$U$156,Hochbauplanung!$J$156*Hochbauplanung!$F$37+Hochbauplanung!$J$156+Hochbauplanung!$R$156+$L$118,0)</f>
        <v>0</v>
      </c>
      <c r="J139" s="556">
        <f>IF(B139=Hochbauplanung!$U$160,Hochbauplanung!$J$160*Hochbauplanung!$F$37+Hochbauplanung!$J$160+Hochbauplanung!$R$161+$L$119,0)</f>
        <v>0</v>
      </c>
      <c r="K139" s="556">
        <f>IF(B139=Hochbauplanung!$U$162,Hochbauplanung!$J$162*Hochbauplanung!$F$37+Hochbauplanung!$J$162+Hochbauplanung!$R$162+$L$120,0)</f>
        <v>0</v>
      </c>
      <c r="L139" s="556">
        <f>IF(B139=Hochbauplanung!$U$166,Hochbauplanung!$J$166*Hochbauplanung!$F$37+Hochbauplanung!$J$166+Hochbauplanung!$R$166+Hochbauplanung!$R$170+$L$121,0)</f>
        <v>0</v>
      </c>
      <c r="M139" s="556">
        <f>IF(B139=Hochbauplanung!$U$172,Hochbauplanung!$J$172*Hochbauplanung!$F$37+Hochbauplanung!$J$172+Hochbauplanung!$L$197+$L$122,0)</f>
        <v>0</v>
      </c>
      <c r="N139" s="556">
        <f>IF(B139=Hochbauplanung!$U$198,Hochbauplanung!$J$198*Hochbauplanung!$F$37+Hochbauplanung!$J$198+Hochbauplanung!$L$214+$L$123,0)</f>
        <v>0</v>
      </c>
      <c r="O139" s="556">
        <f>IF(B139=Hochbauplanung!$U$215,Hochbauplanung!$J$215*Hochbauplanung!$F$37+Hochbauplanung!$J$215+Hochbauplanung!$L$262+$L$124,0)</f>
        <v>0</v>
      </c>
      <c r="P139" s="557">
        <f>IF(B139=Hochbauplanung!$U$263,Hochbauplanung!$J$263*Hochbauplanung!$F$37+Hochbauplanung!$J$263+Hochbauplanung!$L$272+$L$125,0)</f>
        <v>0</v>
      </c>
      <c r="Q139" s="558">
        <f t="shared" ref="Q139" si="8">SUM(C139:P139)</f>
        <v>0</v>
      </c>
      <c r="T139" s="273"/>
      <c r="U139" s="274"/>
      <c r="V139" s="275"/>
    </row>
    <row r="140" spans="2:22" ht="15.2" thickBot="1" x14ac:dyDescent="0.35">
      <c r="Q140" s="559">
        <f>SUM(Q131:Q139)</f>
        <v>0</v>
      </c>
      <c r="T140" s="273"/>
      <c r="U140" s="274"/>
      <c r="V140" s="275"/>
    </row>
    <row r="141" spans="2:22" ht="15.2" thickBot="1" x14ac:dyDescent="0.35">
      <c r="B141" s="1210" t="s">
        <v>381</v>
      </c>
      <c r="C141" s="1211"/>
      <c r="D141" s="1211"/>
      <c r="E141" s="1211"/>
      <c r="F141" s="1211"/>
      <c r="G141" s="1211"/>
      <c r="H141" s="1211"/>
      <c r="I141" s="1211"/>
      <c r="J141" s="1211"/>
      <c r="K141" s="1211"/>
      <c r="L141" s="1211"/>
      <c r="M141" s="1211"/>
      <c r="N141" s="1211"/>
      <c r="O141" s="1211"/>
      <c r="P141" s="1211"/>
      <c r="Q141" s="1212"/>
      <c r="T141" s="273"/>
      <c r="U141" s="274"/>
      <c r="V141" s="275"/>
    </row>
    <row r="142" spans="2:22" ht="15.2" thickBot="1" x14ac:dyDescent="0.35">
      <c r="B142" s="544" t="s">
        <v>115</v>
      </c>
      <c r="C142" s="498" t="s">
        <v>306</v>
      </c>
      <c r="D142" s="499" t="s">
        <v>307</v>
      </c>
      <c r="E142" s="499" t="s">
        <v>308</v>
      </c>
      <c r="F142" s="499" t="s">
        <v>309</v>
      </c>
      <c r="G142" s="499" t="s">
        <v>310</v>
      </c>
      <c r="H142" s="499" t="s">
        <v>311</v>
      </c>
      <c r="I142" s="499" t="s">
        <v>312</v>
      </c>
      <c r="J142" s="499" t="s">
        <v>313</v>
      </c>
      <c r="K142" s="499" t="s">
        <v>314</v>
      </c>
      <c r="L142" s="499" t="s">
        <v>315</v>
      </c>
      <c r="M142" s="499" t="s">
        <v>316</v>
      </c>
      <c r="N142" s="499" t="s">
        <v>317</v>
      </c>
      <c r="O142" s="499" t="s">
        <v>318</v>
      </c>
      <c r="P142" s="499" t="s">
        <v>379</v>
      </c>
      <c r="Q142" s="545" t="s">
        <v>380</v>
      </c>
      <c r="T142" s="273"/>
      <c r="U142" s="274"/>
      <c r="V142" s="275"/>
    </row>
    <row r="143" spans="2:22" ht="14.55" x14ac:dyDescent="0.3">
      <c r="B143" s="501">
        <f>IF(Überblick!$H$53&gt;=1,1,"")</f>
        <v>1</v>
      </c>
      <c r="C143" s="546">
        <f>IF(B143=Hochbauplanung!$U$61,Hochbauplanung!$J$61*Hochbauplanung!$F$37+Hochbauplanung!$J$61+Hochbauplanung!$I$60,0)</f>
        <v>0</v>
      </c>
      <c r="D143" s="547">
        <f>IF(B143=Hochbauplanung!$U$77,Hochbauplanung!$J$77*Hochbauplanung!$F$37+Hochbauplanung!$J$77+Hochbauplanung!$I$76,0)</f>
        <v>0</v>
      </c>
      <c r="E143" s="547">
        <f>IF(B143=Hochbauplanung!$U$105,Hochbauplanung!$J$105*Hochbauplanung!$F$37+Hochbauplanung!$J$105+Hochbauplanung!$I$104,0)</f>
        <v>0</v>
      </c>
      <c r="F143" s="547">
        <f>IF(B143=Hochbauplanung!$U$133,Hochbauplanung!$J$133*Hochbauplanung!$F$37+Hochbauplanung!$J$133+$L$115,0)</f>
        <v>0</v>
      </c>
      <c r="G143" s="547">
        <f>IF(B143=Hochbauplanung!$U$143,Hochbauplanung!$J$143*Hochbauplanung!$F$37+Hochbauplanung!$J$143+$L$116,0)</f>
        <v>0</v>
      </c>
      <c r="H143" s="547">
        <f>IF(B143=Hochbauplanung!$U$149,Hochbauplanung!$J$149*Hochbauplanung!$F$37+Hochbauplanung!$J$149+$L$117,0)</f>
        <v>0</v>
      </c>
      <c r="I143" s="547">
        <f>IF(B143=Hochbauplanung!$U$156,Hochbauplanung!$J$156*Hochbauplanung!$F$37+Hochbauplanung!$J$156+$L$118,0)</f>
        <v>0</v>
      </c>
      <c r="J143" s="547">
        <f>IF(B143=Hochbauplanung!$U$160,Hochbauplanung!$J$160*Hochbauplanung!$F$37+Hochbauplanung!$J$160+$L$119,0)</f>
        <v>0</v>
      </c>
      <c r="K143" s="547">
        <f>IF(B143=Hochbauplanung!$U$162,Hochbauplanung!$J$162*Hochbauplanung!$F$37+Hochbauplanung!$J$162+$L$120,0)</f>
        <v>0</v>
      </c>
      <c r="L143" s="547">
        <f>IF(B143=Hochbauplanung!$U$166,Hochbauplanung!$J$166*Hochbauplanung!$F$37+Hochbauplanung!$J$166+Hochbauplanung!$R$170+$L$121,0)</f>
        <v>0</v>
      </c>
      <c r="M143" s="547">
        <f>IF(B143=Hochbauplanung!$U$172,Hochbauplanung!$J$172*Hochbauplanung!$F$37+Hochbauplanung!$J$172+$L$122,0)</f>
        <v>0</v>
      </c>
      <c r="N143" s="547">
        <f>IF(B143=Hochbauplanung!$U$198,Hochbauplanung!$J$198*Hochbauplanung!$F$37+Hochbauplanung!$J$198+$L$123,0)</f>
        <v>0</v>
      </c>
      <c r="O143" s="547">
        <f>IF(B143=Hochbauplanung!$U$215,Hochbauplanung!$J$215*Hochbauplanung!$F$37+Hochbauplanung!$J$215+$L$124,0)</f>
        <v>0</v>
      </c>
      <c r="P143" s="548">
        <f>IF(B143=Hochbauplanung!$U$263,Hochbauplanung!$J$263*Hochbauplanung!$F$37+Hochbauplanung!$J$263+$L$125,0)</f>
        <v>0</v>
      </c>
      <c r="Q143" s="549">
        <f t="shared" ref="Q143:Q145" si="9">SUM(C143:P143)</f>
        <v>0</v>
      </c>
      <c r="T143" s="273"/>
      <c r="U143" s="274"/>
      <c r="V143" s="275"/>
    </row>
    <row r="144" spans="2:22" ht="14.55" x14ac:dyDescent="0.3">
      <c r="B144" s="505">
        <f>IF(Überblick!$H$53&gt;=2,2,"")</f>
        <v>2</v>
      </c>
      <c r="C144" s="550">
        <f>IF(B144=Hochbauplanung!$U$61,Hochbauplanung!$J$61*Hochbauplanung!$F$37+Hochbauplanung!$J$61+Hochbauplanung!$I$60,0)</f>
        <v>0</v>
      </c>
      <c r="D144" s="551">
        <f>IF(B144=Hochbauplanung!$U$77,Hochbauplanung!$J$77*Hochbauplanung!$F$37+Hochbauplanung!$J$77+Hochbauplanung!$I$76,0)</f>
        <v>0</v>
      </c>
      <c r="E144" s="551">
        <f>IF(B144=Hochbauplanung!$U$105,Hochbauplanung!$J$105*Hochbauplanung!$F$37+Hochbauplanung!$J$105+Hochbauplanung!$I$104,0)</f>
        <v>0</v>
      </c>
      <c r="F144" s="551">
        <f>IF(B144=Hochbauplanung!$U$133,Hochbauplanung!$J$133*Hochbauplanung!$F$37+Hochbauplanung!$J$133+$L$115,0)</f>
        <v>0</v>
      </c>
      <c r="G144" s="551">
        <f>IF(B144=Hochbauplanung!$U$143,Hochbauplanung!$J$143*Hochbauplanung!$F$37+Hochbauplanung!$J$143+$L$116,0)</f>
        <v>0</v>
      </c>
      <c r="H144" s="551">
        <f>IF(B144=Hochbauplanung!$U$149,Hochbauplanung!$J$149*Hochbauplanung!$F$37+Hochbauplanung!$J$149+$L$117,0)</f>
        <v>0</v>
      </c>
      <c r="I144" s="551">
        <f>IF(B144=Hochbauplanung!$U$156,Hochbauplanung!$J$156*Hochbauplanung!$F$37+Hochbauplanung!$J$156+$L$118,0)</f>
        <v>0</v>
      </c>
      <c r="J144" s="551">
        <f>IF(B144=Hochbauplanung!$U$160,Hochbauplanung!$J$160*Hochbauplanung!$F$37+Hochbauplanung!$J$160+$L$119,0)</f>
        <v>0</v>
      </c>
      <c r="K144" s="551">
        <f>IF(B144=Hochbauplanung!$U$162,Hochbauplanung!$J$162*Hochbauplanung!$F$37+Hochbauplanung!$J$162+$L$120,0)</f>
        <v>0</v>
      </c>
      <c r="L144" s="551">
        <f>IF(B144=Hochbauplanung!$U$166,Hochbauplanung!$J$166*Hochbauplanung!$F$37+Hochbauplanung!$J$166+Hochbauplanung!$R$170+$L$121,0)</f>
        <v>0</v>
      </c>
      <c r="M144" s="551">
        <f>IF(B144=Hochbauplanung!$U$172,Hochbauplanung!$J$172*Hochbauplanung!$F$37+Hochbauplanung!$J$172+$L$122,0)</f>
        <v>0</v>
      </c>
      <c r="N144" s="551">
        <f>IF(B144=Hochbauplanung!$U$198,Hochbauplanung!$J$198*Hochbauplanung!$F$37+Hochbauplanung!$J$198+$L$123,0)</f>
        <v>0</v>
      </c>
      <c r="O144" s="551">
        <f>IF(B144=Hochbauplanung!$U$215,Hochbauplanung!$J$215*Hochbauplanung!$F$37+Hochbauplanung!$J$215+$L$124,0)</f>
        <v>0</v>
      </c>
      <c r="P144" s="552">
        <f>IF(B144=Hochbauplanung!$U$263,Hochbauplanung!$J$263*Hochbauplanung!$F$37+Hochbauplanung!$J$263+$L$125,0)</f>
        <v>0</v>
      </c>
      <c r="Q144" s="553">
        <f t="shared" si="9"/>
        <v>0</v>
      </c>
      <c r="T144" s="273"/>
      <c r="U144" s="274"/>
      <c r="V144" s="275"/>
    </row>
    <row r="145" spans="2:22" ht="14.55" x14ac:dyDescent="0.3">
      <c r="B145" s="505">
        <f>IF(Überblick!$H$53&gt;=3,3,"")</f>
        <v>3</v>
      </c>
      <c r="C145" s="550">
        <f>IF(B145=Hochbauplanung!$U$61,Hochbauplanung!$J$61*Hochbauplanung!$F$37+Hochbauplanung!$J$61+Hochbauplanung!$I$60,0)</f>
        <v>0</v>
      </c>
      <c r="D145" s="551">
        <f>IF(B145=Hochbauplanung!$U$77,Hochbauplanung!$J$77*Hochbauplanung!$F$37+Hochbauplanung!$J$77+Hochbauplanung!$I$76,0)</f>
        <v>0</v>
      </c>
      <c r="E145" s="551">
        <f>IF(B145=Hochbauplanung!$U$105,Hochbauplanung!$J$105*Hochbauplanung!$F$37+Hochbauplanung!$J$105+Hochbauplanung!$I$104,0)</f>
        <v>0</v>
      </c>
      <c r="F145" s="551">
        <f>IF(B145=Hochbauplanung!$U$133,Hochbauplanung!$J$133*Hochbauplanung!$F$37+Hochbauplanung!$J$133+$L$115,0)</f>
        <v>0</v>
      </c>
      <c r="G145" s="551">
        <f>IF(B145=Hochbauplanung!$U$143,Hochbauplanung!$J$143*Hochbauplanung!$F$37+Hochbauplanung!$J$143+$L$116,0)</f>
        <v>0</v>
      </c>
      <c r="H145" s="551">
        <f>IF(B145=Hochbauplanung!$U$149,Hochbauplanung!$J$149*Hochbauplanung!$F$37+Hochbauplanung!$J$149+$L$117,0)</f>
        <v>0</v>
      </c>
      <c r="I145" s="551">
        <f>IF(B145=Hochbauplanung!$U$156,Hochbauplanung!$J$156*Hochbauplanung!$F$37+Hochbauplanung!$J$156+$L$118,0)</f>
        <v>0</v>
      </c>
      <c r="J145" s="551">
        <f>IF(B145=Hochbauplanung!$U$160,Hochbauplanung!$J$160*Hochbauplanung!$F$37+Hochbauplanung!$J$160+$L$119,0)</f>
        <v>0</v>
      </c>
      <c r="K145" s="551">
        <f>IF(B145=Hochbauplanung!$U$162,Hochbauplanung!$J$162*Hochbauplanung!$F$37+Hochbauplanung!$J$162+$L$120,0)</f>
        <v>0</v>
      </c>
      <c r="L145" s="551">
        <f>IF(B145=Hochbauplanung!$U$166,Hochbauplanung!$J$166*Hochbauplanung!$F$37+Hochbauplanung!$J$166+Hochbauplanung!$R$170+$L$121,0)</f>
        <v>0</v>
      </c>
      <c r="M145" s="551">
        <f>IF(B145=Hochbauplanung!$U$172,Hochbauplanung!$J$172*Hochbauplanung!$F$37+Hochbauplanung!$J$172+$L$122,0)</f>
        <v>0</v>
      </c>
      <c r="N145" s="551">
        <f>IF(B145=Hochbauplanung!$U$198,Hochbauplanung!$J$198*Hochbauplanung!$F$37+Hochbauplanung!$J$198+$L$123,0)</f>
        <v>0</v>
      </c>
      <c r="O145" s="551">
        <f>IF(B145=Hochbauplanung!$U$215,Hochbauplanung!$J$215*Hochbauplanung!$F$37+Hochbauplanung!$J$215+$L$124,0)</f>
        <v>0</v>
      </c>
      <c r="P145" s="552">
        <f>IF(B145=Hochbauplanung!$U$263,Hochbauplanung!$J$263*Hochbauplanung!$F$37+Hochbauplanung!$J$263+$L$125,0)</f>
        <v>0</v>
      </c>
      <c r="Q145" s="553">
        <f t="shared" si="9"/>
        <v>0</v>
      </c>
      <c r="T145" s="273"/>
      <c r="U145" s="274"/>
      <c r="V145" s="275"/>
    </row>
    <row r="146" spans="2:22" ht="14.55" x14ac:dyDescent="0.3">
      <c r="B146" s="505" t="str">
        <f>IF(Überblick!$H$53&gt;=4,4,"")</f>
        <v/>
      </c>
      <c r="C146" s="550">
        <f>IF(B146=Hochbauplanung!$U$61,Hochbauplanung!$J$61*Hochbauplanung!$F$37+Hochbauplanung!$J$61+Hochbauplanung!$I$60,0)</f>
        <v>0</v>
      </c>
      <c r="D146" s="551">
        <f>IF(B146=Hochbauplanung!$U$77,Hochbauplanung!$J$77*Hochbauplanung!$F$37+Hochbauplanung!$J$77+Hochbauplanung!$I$76,0)</f>
        <v>0</v>
      </c>
      <c r="E146" s="551">
        <f>IF(B146=Hochbauplanung!$U$105,Hochbauplanung!$J$105*Hochbauplanung!$F$37+Hochbauplanung!$J$105+Hochbauplanung!$I$104,0)</f>
        <v>0</v>
      </c>
      <c r="F146" s="551">
        <f>IF(B146=Hochbauplanung!$U$133,Hochbauplanung!$J$133*Hochbauplanung!$F$37+Hochbauplanung!$J$133+$L$115,0)</f>
        <v>0</v>
      </c>
      <c r="G146" s="551">
        <f>IF(B146=Hochbauplanung!$U$143,Hochbauplanung!$J$143*Hochbauplanung!$F$37+Hochbauplanung!$J$143+$L$116,0)</f>
        <v>0</v>
      </c>
      <c r="H146" s="551">
        <f>IF(B146=Hochbauplanung!$U$149,Hochbauplanung!$J$149*Hochbauplanung!$F$37+Hochbauplanung!$J$149+$L$117,0)</f>
        <v>0</v>
      </c>
      <c r="I146" s="551">
        <f>IF(B146=Hochbauplanung!$U$156,Hochbauplanung!$J$156*Hochbauplanung!$F$37+Hochbauplanung!$J$156+$L$118,0)</f>
        <v>0</v>
      </c>
      <c r="J146" s="551">
        <f>IF(B146=Hochbauplanung!$U$160,Hochbauplanung!$J$160*Hochbauplanung!$F$37+Hochbauplanung!$J$160+$L$119,0)</f>
        <v>0</v>
      </c>
      <c r="K146" s="551">
        <f>IF(B146=Hochbauplanung!$U$162,Hochbauplanung!$J$162*Hochbauplanung!$F$37+Hochbauplanung!$J$162+$L$120,0)</f>
        <v>0</v>
      </c>
      <c r="L146" s="551">
        <f>IF(B146=Hochbauplanung!$U$166,Hochbauplanung!$J$166*Hochbauplanung!$F$37+Hochbauplanung!$J$166+Hochbauplanung!$R$170+$L$121,0)</f>
        <v>0</v>
      </c>
      <c r="M146" s="551">
        <f>IF(B146=Hochbauplanung!$U$172,Hochbauplanung!$J$172*Hochbauplanung!$F$37+Hochbauplanung!$J$172+$L$122,0)</f>
        <v>0</v>
      </c>
      <c r="N146" s="551">
        <f>IF(B146=Hochbauplanung!$U$198,Hochbauplanung!$J$198*Hochbauplanung!$F$37+Hochbauplanung!$J$198+$L$123,0)</f>
        <v>0</v>
      </c>
      <c r="O146" s="551">
        <f>IF(B146=Hochbauplanung!$U$215,Hochbauplanung!$J$215*Hochbauplanung!$F$37+Hochbauplanung!$J$215+$L$124,0)</f>
        <v>0</v>
      </c>
      <c r="P146" s="552">
        <f>IF(B146=Hochbauplanung!$U$263,Hochbauplanung!$J$263*Hochbauplanung!$F$37+Hochbauplanung!$J$263+$L$125,0)</f>
        <v>0</v>
      </c>
      <c r="Q146" s="553">
        <f>SUM(C146:P146)</f>
        <v>0</v>
      </c>
      <c r="T146" s="273"/>
      <c r="U146" s="274"/>
      <c r="V146" s="275"/>
    </row>
    <row r="147" spans="2:22" ht="14.55" x14ac:dyDescent="0.3">
      <c r="B147" s="505" t="str">
        <f>IF(Überblick!$H$53&gt;=5,5,"")</f>
        <v/>
      </c>
      <c r="C147" s="550">
        <f>IF(B147=Hochbauplanung!$U$61,Hochbauplanung!$J$61*Hochbauplanung!$F$37+Hochbauplanung!$J$61+Hochbauplanung!$I$60,0)</f>
        <v>0</v>
      </c>
      <c r="D147" s="551">
        <f>IF(B147=Hochbauplanung!$U$77,Hochbauplanung!$J$77*Hochbauplanung!$F$37+Hochbauplanung!$J$77+Hochbauplanung!$I$76,0)</f>
        <v>0</v>
      </c>
      <c r="E147" s="551">
        <f>IF(B147=Hochbauplanung!$U$105,Hochbauplanung!$J$105*Hochbauplanung!$F$37+Hochbauplanung!$J$105+Hochbauplanung!$I$104,0)</f>
        <v>0</v>
      </c>
      <c r="F147" s="551">
        <f>IF(B147=Hochbauplanung!$U$133,Hochbauplanung!$J$133*Hochbauplanung!$F$37+Hochbauplanung!$J$133+$L$115,0)</f>
        <v>0</v>
      </c>
      <c r="G147" s="551">
        <f>IF(B147=Hochbauplanung!$U$143,Hochbauplanung!$J$143*Hochbauplanung!$F$37+Hochbauplanung!$J$143+$L$116,0)</f>
        <v>0</v>
      </c>
      <c r="H147" s="551">
        <f>IF(B147=Hochbauplanung!$U$149,Hochbauplanung!$J$149*Hochbauplanung!$F$37+Hochbauplanung!$J$149+$L$117,0)</f>
        <v>0</v>
      </c>
      <c r="I147" s="551">
        <f>IF(B147=Hochbauplanung!$U$156,Hochbauplanung!$J$156*Hochbauplanung!$F$37+Hochbauplanung!$J$156+$L$118,0)</f>
        <v>0</v>
      </c>
      <c r="J147" s="551">
        <f>IF(B147=Hochbauplanung!$U$160,Hochbauplanung!$J$160*Hochbauplanung!$F$37+Hochbauplanung!$J$160+$L$119,0)</f>
        <v>0</v>
      </c>
      <c r="K147" s="551">
        <f>IF(B147=Hochbauplanung!$U$162,Hochbauplanung!$J$162*Hochbauplanung!$F$37+Hochbauplanung!$J$162+$L$120,0)</f>
        <v>0</v>
      </c>
      <c r="L147" s="551">
        <f>IF(B147=Hochbauplanung!$U$166,Hochbauplanung!$J$166*Hochbauplanung!$F$37+Hochbauplanung!$J$166+Hochbauplanung!$R$170+$L$121,0)</f>
        <v>0</v>
      </c>
      <c r="M147" s="551">
        <f>IF(B147=Hochbauplanung!$U$172,Hochbauplanung!$J$172*Hochbauplanung!$F$37+Hochbauplanung!$J$172+$L$122,0)</f>
        <v>0</v>
      </c>
      <c r="N147" s="551">
        <f>IF(B147=Hochbauplanung!$U$198,Hochbauplanung!$J$198*Hochbauplanung!$F$37+Hochbauplanung!$J$198+$L$123,0)</f>
        <v>0</v>
      </c>
      <c r="O147" s="551">
        <f>IF(B147=Hochbauplanung!$U$215,Hochbauplanung!$J$215*Hochbauplanung!$F$37+Hochbauplanung!$J$215+$L$124,0)</f>
        <v>0</v>
      </c>
      <c r="P147" s="552">
        <f>IF(B147=Hochbauplanung!$U$263,Hochbauplanung!$J$263*Hochbauplanung!$F$37+Hochbauplanung!$J$263+$L$125,0)</f>
        <v>0</v>
      </c>
      <c r="Q147" s="553">
        <f t="shared" ref="Q147:Q151" si="10">SUM(C147:P147)</f>
        <v>0</v>
      </c>
      <c r="T147" s="273"/>
      <c r="U147" s="274"/>
      <c r="V147" s="275"/>
    </row>
    <row r="148" spans="2:22" ht="14.55" x14ac:dyDescent="0.3">
      <c r="B148" s="505" t="str">
        <f>IF(Überblick!$H$53&gt;=6,6,"")</f>
        <v/>
      </c>
      <c r="C148" s="550">
        <f>IF(B148=Hochbauplanung!$U$61,Hochbauplanung!$J$61*Hochbauplanung!$F$37+Hochbauplanung!$J$61+Hochbauplanung!$I$60,0)</f>
        <v>0</v>
      </c>
      <c r="D148" s="551">
        <f>IF(B148=Hochbauplanung!$U$77,Hochbauplanung!$J$77*Hochbauplanung!$F$37+Hochbauplanung!$J$77+Hochbauplanung!$I$76,0)</f>
        <v>0</v>
      </c>
      <c r="E148" s="551">
        <f>IF(B148=Hochbauplanung!$U$105,Hochbauplanung!$J$105*Hochbauplanung!$F$37+Hochbauplanung!$J$105+Hochbauplanung!$I$104,0)</f>
        <v>0</v>
      </c>
      <c r="F148" s="551">
        <f>IF(B148=Hochbauplanung!$U$133,Hochbauplanung!$J$133*Hochbauplanung!$F$37+Hochbauplanung!$J$133+$L$115,0)</f>
        <v>0</v>
      </c>
      <c r="G148" s="551">
        <f>IF(B148=Hochbauplanung!$U$143,Hochbauplanung!$J$143*Hochbauplanung!$F$37+Hochbauplanung!$J$143+$L$116,0)</f>
        <v>0</v>
      </c>
      <c r="H148" s="551">
        <f>IF(B148=Hochbauplanung!$U$149,Hochbauplanung!$J$149*Hochbauplanung!$F$37+Hochbauplanung!$J$149+$L$117,0)</f>
        <v>0</v>
      </c>
      <c r="I148" s="551">
        <f>IF(B148=Hochbauplanung!$U$156,Hochbauplanung!$J$156*Hochbauplanung!$F$37+Hochbauplanung!$J$156+$L$118,0)</f>
        <v>0</v>
      </c>
      <c r="J148" s="551">
        <f>IF(B148=Hochbauplanung!$U$160,Hochbauplanung!$J$160*Hochbauplanung!$F$37+Hochbauplanung!$J$160+$L$119,0)</f>
        <v>0</v>
      </c>
      <c r="K148" s="551">
        <f>IF(B148=Hochbauplanung!$U$162,Hochbauplanung!$J$162*Hochbauplanung!$F$37+Hochbauplanung!$J$162+$L$120,0)</f>
        <v>0</v>
      </c>
      <c r="L148" s="551">
        <f>IF(B148=Hochbauplanung!$U$166,Hochbauplanung!$J$166*Hochbauplanung!$F$37+Hochbauplanung!$J$166+Hochbauplanung!$R$170+$L$121,0)</f>
        <v>0</v>
      </c>
      <c r="M148" s="551">
        <f>IF(B148=Hochbauplanung!$U$172,Hochbauplanung!$J$172*Hochbauplanung!$F$37+Hochbauplanung!$J$172+$L$122,0)</f>
        <v>0</v>
      </c>
      <c r="N148" s="551">
        <f>IF(B148=Hochbauplanung!$U$198,Hochbauplanung!$J$198*Hochbauplanung!$F$37+Hochbauplanung!$J$198+$L$123,0)</f>
        <v>0</v>
      </c>
      <c r="O148" s="551">
        <f>IF(B148=Hochbauplanung!$U$215,Hochbauplanung!$J$215*Hochbauplanung!$F$37+Hochbauplanung!$J$215+$L$124,0)</f>
        <v>0</v>
      </c>
      <c r="P148" s="552">
        <f>IF(B148=Hochbauplanung!$U$263,Hochbauplanung!$J$263*Hochbauplanung!$F$37+Hochbauplanung!$J$263+$L$125,0)</f>
        <v>0</v>
      </c>
      <c r="Q148" s="553">
        <f t="shared" si="10"/>
        <v>0</v>
      </c>
      <c r="T148" s="273"/>
      <c r="U148" s="274"/>
      <c r="V148" s="275"/>
    </row>
    <row r="149" spans="2:22" ht="14.55" x14ac:dyDescent="0.3">
      <c r="B149" s="505" t="str">
        <f>IF(Überblick!$H$53&gt;=7,7,"")</f>
        <v/>
      </c>
      <c r="C149" s="550">
        <f>IF(B149=Hochbauplanung!$U$61,Hochbauplanung!$J$61*Hochbauplanung!$F$37+Hochbauplanung!$J$61+Hochbauplanung!$I$60,0)</f>
        <v>0</v>
      </c>
      <c r="D149" s="551">
        <f>IF(B149=Hochbauplanung!$U$77,Hochbauplanung!$J$77*Hochbauplanung!$F$37+Hochbauplanung!$J$77+Hochbauplanung!$I$76,0)</f>
        <v>0</v>
      </c>
      <c r="E149" s="551">
        <f>IF(B149=Hochbauplanung!$U$105,Hochbauplanung!$J$105*Hochbauplanung!$F$37+Hochbauplanung!$J$105+Hochbauplanung!$I$104,0)</f>
        <v>0</v>
      </c>
      <c r="F149" s="551">
        <f>IF(B149=Hochbauplanung!$U$133,Hochbauplanung!$J$133*Hochbauplanung!$F$37+Hochbauplanung!$J$133+$L$115,0)</f>
        <v>0</v>
      </c>
      <c r="G149" s="551">
        <f>IF(B149=Hochbauplanung!$U$143,Hochbauplanung!$J$143*Hochbauplanung!$F$37+Hochbauplanung!$J$143+$L$116,0)</f>
        <v>0</v>
      </c>
      <c r="H149" s="551">
        <f>IF(B149=Hochbauplanung!$U$149,Hochbauplanung!$J$149*Hochbauplanung!$F$37+Hochbauplanung!$J$149+$L$117,0)</f>
        <v>0</v>
      </c>
      <c r="I149" s="551">
        <f>IF(B149=Hochbauplanung!$U$156,Hochbauplanung!$J$156*Hochbauplanung!$F$37+Hochbauplanung!$J$156+$L$118,0)</f>
        <v>0</v>
      </c>
      <c r="J149" s="551">
        <f>IF(B149=Hochbauplanung!$U$160,Hochbauplanung!$J$160*Hochbauplanung!$F$37+Hochbauplanung!$J$160+$L$119,0)</f>
        <v>0</v>
      </c>
      <c r="K149" s="551">
        <f>IF(B149=Hochbauplanung!$U$162,Hochbauplanung!$J$162*Hochbauplanung!$F$37+Hochbauplanung!$J$162+$L$120,0)</f>
        <v>0</v>
      </c>
      <c r="L149" s="551">
        <f>IF(B149=Hochbauplanung!$U$166,Hochbauplanung!$J$166*Hochbauplanung!$F$37+Hochbauplanung!$J$166+Hochbauplanung!$R$170+$L$121,0)</f>
        <v>0</v>
      </c>
      <c r="M149" s="551">
        <f>IF(B149=Hochbauplanung!$U$172,Hochbauplanung!$J$172*Hochbauplanung!$F$37+Hochbauplanung!$J$172+$L$122,0)</f>
        <v>0</v>
      </c>
      <c r="N149" s="551">
        <f>IF(B149=Hochbauplanung!$U$198,Hochbauplanung!$J$198*Hochbauplanung!$F$37+Hochbauplanung!$J$198+$L$123,0)</f>
        <v>0</v>
      </c>
      <c r="O149" s="551">
        <f>IF(B149=Hochbauplanung!$U$215,Hochbauplanung!$J$215*Hochbauplanung!$F$37+Hochbauplanung!$J$215+$L$124,0)</f>
        <v>0</v>
      </c>
      <c r="P149" s="552">
        <f>IF(B149=Hochbauplanung!$U$263,Hochbauplanung!$J$263*Hochbauplanung!$F$37+Hochbauplanung!$J$263+$L$125,0)</f>
        <v>0</v>
      </c>
      <c r="Q149" s="553">
        <f t="shared" si="10"/>
        <v>0</v>
      </c>
      <c r="T149" s="273"/>
      <c r="U149" s="274"/>
      <c r="V149" s="275"/>
    </row>
    <row r="150" spans="2:22" ht="14.55" x14ac:dyDescent="0.3">
      <c r="B150" s="505" t="str">
        <f>IF(Überblick!$H$53&gt;=8,8,"")</f>
        <v/>
      </c>
      <c r="C150" s="550">
        <f>IF(B150=Hochbauplanung!$U$61,Hochbauplanung!$J$61*Hochbauplanung!$F$37+Hochbauplanung!$J$61+Hochbauplanung!$I$60,0)</f>
        <v>0</v>
      </c>
      <c r="D150" s="551">
        <f>IF(B150=Hochbauplanung!$U$77,Hochbauplanung!$J$77*Hochbauplanung!$F$37+Hochbauplanung!$J$77+Hochbauplanung!$I$76,0)</f>
        <v>0</v>
      </c>
      <c r="E150" s="551">
        <f>IF(B150=Hochbauplanung!$U$105,Hochbauplanung!$J$105*Hochbauplanung!$F$37+Hochbauplanung!$J$105+Hochbauplanung!$I$104,0)</f>
        <v>0</v>
      </c>
      <c r="F150" s="551">
        <f>IF(B150=Hochbauplanung!$U$133,Hochbauplanung!$J$133*Hochbauplanung!$F$37+Hochbauplanung!$J$133+$L$115,0)</f>
        <v>0</v>
      </c>
      <c r="G150" s="551">
        <f>IF(B150=Hochbauplanung!$U$143,Hochbauplanung!$J$143*Hochbauplanung!$F$37+Hochbauplanung!$J$143+$L$116,0)</f>
        <v>0</v>
      </c>
      <c r="H150" s="551">
        <f>IF(B150=Hochbauplanung!$U$149,Hochbauplanung!$J$149*Hochbauplanung!$F$37+Hochbauplanung!$J$149+$L$117,0)</f>
        <v>0</v>
      </c>
      <c r="I150" s="551">
        <f>IF(B150=Hochbauplanung!$U$156,Hochbauplanung!$J$156*Hochbauplanung!$F$37+Hochbauplanung!$J$156+$L$118,0)</f>
        <v>0</v>
      </c>
      <c r="J150" s="551">
        <f>IF(B150=Hochbauplanung!$U$160,Hochbauplanung!$J$160*Hochbauplanung!$F$37+Hochbauplanung!$J$160+$L$119,0)</f>
        <v>0</v>
      </c>
      <c r="K150" s="551">
        <f>IF(B150=Hochbauplanung!$U$162,Hochbauplanung!$J$162*Hochbauplanung!$F$37+Hochbauplanung!$J$162+$L$120,0)</f>
        <v>0</v>
      </c>
      <c r="L150" s="551">
        <f>IF(B150=Hochbauplanung!$U$166,Hochbauplanung!$J$166*Hochbauplanung!$F$37+Hochbauplanung!$J$166+Hochbauplanung!$R$170+$L$121,0)</f>
        <v>0</v>
      </c>
      <c r="M150" s="551">
        <f>IF(B150=Hochbauplanung!$U$172,Hochbauplanung!$J$172*Hochbauplanung!$F$37+Hochbauplanung!$J$172+$L$122,0)</f>
        <v>0</v>
      </c>
      <c r="N150" s="551">
        <f>IF(B150=Hochbauplanung!$U$198,Hochbauplanung!$J$198*Hochbauplanung!$F$37+Hochbauplanung!$J$198+$L$123,0)</f>
        <v>0</v>
      </c>
      <c r="O150" s="551">
        <f>IF(B150=Hochbauplanung!$U$215,Hochbauplanung!$J$215*Hochbauplanung!$F$37+Hochbauplanung!$J$215+$L$124,0)</f>
        <v>0</v>
      </c>
      <c r="P150" s="552">
        <f>IF(B150=Hochbauplanung!$U$263,Hochbauplanung!$J$263*Hochbauplanung!$F$37+Hochbauplanung!$J$263+$L$125,0)</f>
        <v>0</v>
      </c>
      <c r="Q150" s="554">
        <f t="shared" si="10"/>
        <v>0</v>
      </c>
      <c r="T150" s="273"/>
      <c r="U150" s="274"/>
      <c r="V150" s="275"/>
    </row>
    <row r="151" spans="2:22" ht="15.2" thickBot="1" x14ac:dyDescent="0.35">
      <c r="B151" s="509" t="str">
        <f>IF(Überblick!$H$53&gt;=9,9,"")</f>
        <v/>
      </c>
      <c r="C151" s="555">
        <f>IF(B151=Hochbauplanung!$U$61,Hochbauplanung!$J$61*Hochbauplanung!$F$37+Hochbauplanung!$J$61+Hochbauplanung!$I$60,0)</f>
        <v>0</v>
      </c>
      <c r="D151" s="556">
        <f>IF(B151=Hochbauplanung!$U$77,Hochbauplanung!$J$77*Hochbauplanung!$F$37+Hochbauplanung!$J$77+Hochbauplanung!$I$76,0)</f>
        <v>0</v>
      </c>
      <c r="E151" s="556">
        <f>IF(B151=Hochbauplanung!$U$105,Hochbauplanung!$J$105*Hochbauplanung!$F$37+Hochbauplanung!$J$105+Hochbauplanung!$I$104,0)</f>
        <v>0</v>
      </c>
      <c r="F151" s="556">
        <f>IF(B151=Hochbauplanung!$U$133,Hochbauplanung!$J$133*Hochbauplanung!$F$37+Hochbauplanung!$J$133+$L$115,0)</f>
        <v>0</v>
      </c>
      <c r="G151" s="556">
        <f>IF(B151=Hochbauplanung!$U$143,Hochbauplanung!$J$143*Hochbauplanung!$F$37+Hochbauplanung!$J$143+$L$116,0)</f>
        <v>0</v>
      </c>
      <c r="H151" s="556">
        <f>IF(B151=Hochbauplanung!$U$149,Hochbauplanung!$J$149*Hochbauplanung!$F$37+Hochbauplanung!$J$149+$L$117,0)</f>
        <v>0</v>
      </c>
      <c r="I151" s="556">
        <f>IF(B151=Hochbauplanung!$U$156,Hochbauplanung!$J$156*Hochbauplanung!$F$37+Hochbauplanung!$J$156+$L$118,0)</f>
        <v>0</v>
      </c>
      <c r="J151" s="556">
        <f>IF(B151=Hochbauplanung!$U$160,Hochbauplanung!$J$160*Hochbauplanung!$F$37+Hochbauplanung!$J$160+$L$119,0)</f>
        <v>0</v>
      </c>
      <c r="K151" s="556">
        <f>IF(B151=Hochbauplanung!$U$162,Hochbauplanung!$J$162*Hochbauplanung!$F$37+Hochbauplanung!$J$162+$L$120,0)</f>
        <v>0</v>
      </c>
      <c r="L151" s="556">
        <f>IF(B151=Hochbauplanung!$U$166,Hochbauplanung!$J$166*Hochbauplanung!$F$37+Hochbauplanung!$J$166+Hochbauplanung!$R$170+$L$121,0)</f>
        <v>0</v>
      </c>
      <c r="M151" s="556">
        <f>IF(B151=Hochbauplanung!$U$172,Hochbauplanung!$J$172*Hochbauplanung!$F$37+Hochbauplanung!$J$172+$L$122,0)</f>
        <v>0</v>
      </c>
      <c r="N151" s="556">
        <f>IF(B151=Hochbauplanung!$U$198,Hochbauplanung!$J$198*Hochbauplanung!$F$37+Hochbauplanung!$J$198+$L$123,0)</f>
        <v>0</v>
      </c>
      <c r="O151" s="556">
        <f>IF(B151=Hochbauplanung!$U$215,Hochbauplanung!$J$215*Hochbauplanung!$F$37+Hochbauplanung!$J$215+$L$124,0)</f>
        <v>0</v>
      </c>
      <c r="P151" s="557">
        <f>IF(B151=Hochbauplanung!$U$263,Hochbauplanung!$J$263*Hochbauplanung!$F$37+Hochbauplanung!$J$263+$L$125,0)</f>
        <v>0</v>
      </c>
      <c r="Q151" s="558">
        <f t="shared" si="10"/>
        <v>0</v>
      </c>
      <c r="T151" s="273"/>
      <c r="U151" s="274"/>
      <c r="V151" s="275"/>
    </row>
    <row r="152" spans="2:22" ht="15.2" thickBot="1" x14ac:dyDescent="0.35">
      <c r="Q152" s="559">
        <f>SUM(Q143:Q151)</f>
        <v>0</v>
      </c>
      <c r="T152" s="273"/>
      <c r="U152" s="274"/>
      <c r="V152" s="275"/>
    </row>
    <row r="153" spans="2:22" ht="15.2" thickBot="1" x14ac:dyDescent="0.35">
      <c r="T153" s="273"/>
      <c r="U153" s="274"/>
      <c r="V153" s="275"/>
    </row>
    <row r="154" spans="2:22" ht="15.2" thickBot="1" x14ac:dyDescent="0.35">
      <c r="B154" s="1210" t="s">
        <v>382</v>
      </c>
      <c r="C154" s="1211"/>
      <c r="D154" s="1211"/>
      <c r="E154" s="1211"/>
      <c r="F154" s="1211"/>
      <c r="G154" s="1211"/>
      <c r="H154" s="1211"/>
      <c r="I154" s="1211"/>
      <c r="J154" s="1211"/>
      <c r="K154" s="1211"/>
      <c r="L154" s="1211"/>
      <c r="M154" s="1211"/>
      <c r="N154" s="1211"/>
      <c r="O154" s="1211"/>
      <c r="P154" s="1211"/>
      <c r="Q154" s="1212"/>
      <c r="T154" s="273"/>
      <c r="U154" s="274"/>
      <c r="V154" s="275"/>
    </row>
    <row r="155" spans="2:22" ht="15.2" thickBot="1" x14ac:dyDescent="0.35">
      <c r="B155" s="544" t="s">
        <v>115</v>
      </c>
      <c r="C155" s="498" t="s">
        <v>306</v>
      </c>
      <c r="D155" s="499" t="s">
        <v>307</v>
      </c>
      <c r="E155" s="499" t="s">
        <v>308</v>
      </c>
      <c r="F155" s="499" t="s">
        <v>309</v>
      </c>
      <c r="G155" s="499" t="s">
        <v>310</v>
      </c>
      <c r="H155" s="499" t="s">
        <v>311</v>
      </c>
      <c r="I155" s="499" t="s">
        <v>312</v>
      </c>
      <c r="J155" s="499" t="s">
        <v>313</v>
      </c>
      <c r="K155" s="499" t="s">
        <v>314</v>
      </c>
      <c r="L155" s="499" t="s">
        <v>315</v>
      </c>
      <c r="M155" s="499" t="s">
        <v>316</v>
      </c>
      <c r="N155" s="499" t="s">
        <v>317</v>
      </c>
      <c r="O155" s="499" t="s">
        <v>318</v>
      </c>
      <c r="P155" s="499" t="s">
        <v>379</v>
      </c>
      <c r="Q155" s="545" t="s">
        <v>380</v>
      </c>
      <c r="T155" s="273"/>
      <c r="U155" s="274"/>
      <c r="V155" s="275"/>
    </row>
    <row r="156" spans="2:22" ht="14.55" x14ac:dyDescent="0.3">
      <c r="B156" s="501">
        <f>IF(Überblick!$H$53&gt;=1,1,"")</f>
        <v>1</v>
      </c>
      <c r="C156" s="546">
        <f>IF(B156=Hochbauplanung!$U$61,Hochbauplanung!$J$61+Hochbauplanung!$I$60,0)</f>
        <v>0</v>
      </c>
      <c r="D156" s="547">
        <f>IF(B156=Hochbauplanung!$U$77,Hochbauplanung!$J$77+Hochbauplanung!$I$76,0)</f>
        <v>0</v>
      </c>
      <c r="E156" s="547">
        <f>IF(B156=Hochbauplanung!$U$105,Hochbauplanung!$J$105+Hochbauplanung!$I$104,0)</f>
        <v>0</v>
      </c>
      <c r="F156" s="547">
        <f>IF(B156=Hochbauplanung!$U$133,Hochbauplanung!$J$133+$L$115,0)</f>
        <v>0</v>
      </c>
      <c r="G156" s="547">
        <f>IF(B156=Hochbauplanung!$U$143,Hochbauplanung!$J$143+$L$116,0)</f>
        <v>0</v>
      </c>
      <c r="H156" s="547">
        <f>IF(B156=Hochbauplanung!$U$149,Hochbauplanung!$J$149+$L$117,0)</f>
        <v>0</v>
      </c>
      <c r="I156" s="547">
        <f>IF(B156=Hochbauplanung!$U$156,Hochbauplanung!$J$156+$L$118,0)</f>
        <v>0</v>
      </c>
      <c r="J156" s="547">
        <f>IF(B156=Hochbauplanung!$U$160,Hochbauplanung!$J$160+$L$119,0)</f>
        <v>0</v>
      </c>
      <c r="K156" s="547">
        <f>IF(B156=Hochbauplanung!$U$162,Hochbauplanung!$J$162+$L$120,0)</f>
        <v>0</v>
      </c>
      <c r="L156" s="547">
        <f>IF(B156=Hochbauplanung!$U$166,Hochbauplanung!$J$166+Hochbauplanung!$R$170+$L$121,0)</f>
        <v>0</v>
      </c>
      <c r="M156" s="547">
        <f>IF(B156=Hochbauplanung!$U$172,Hochbauplanung!$J$172+$L$122,0)</f>
        <v>0</v>
      </c>
      <c r="N156" s="547">
        <f>IF(B156=Hochbauplanung!$U$198,Hochbauplanung!$J$198+$L$123,0)</f>
        <v>0</v>
      </c>
      <c r="O156" s="547">
        <f>IF(B156=Hochbauplanung!$U$215,Hochbauplanung!$J$215+$L$124,0)</f>
        <v>0</v>
      </c>
      <c r="P156" s="548">
        <f>IF(B156=Hochbauplanung!$U$263,Hochbauplanung!$J$263+$L$125,0)</f>
        <v>0</v>
      </c>
      <c r="Q156" s="549">
        <f t="shared" ref="Q156:Q158" si="11">SUM(C156:P156)</f>
        <v>0</v>
      </c>
      <c r="T156" s="273"/>
      <c r="U156" s="274"/>
      <c r="V156" s="275"/>
    </row>
    <row r="157" spans="2:22" ht="14.55" x14ac:dyDescent="0.3">
      <c r="B157" s="505">
        <f>IF(Überblick!$H$53&gt;=2,2,"")</f>
        <v>2</v>
      </c>
      <c r="C157" s="550">
        <f>IF(B157=Hochbauplanung!$U$61,Hochbauplanung!$J$61+Hochbauplanung!$I$60,0)</f>
        <v>0</v>
      </c>
      <c r="D157" s="551">
        <f>IF(B157=Hochbauplanung!$U$77,Hochbauplanung!$J$77+Hochbauplanung!$I$76,0)</f>
        <v>0</v>
      </c>
      <c r="E157" s="551">
        <f>IF(B157=Hochbauplanung!$U$105,Hochbauplanung!$J$105+Hochbauplanung!$I$104,0)</f>
        <v>0</v>
      </c>
      <c r="F157" s="551">
        <f>IF(B157=Hochbauplanung!$U$133,Hochbauplanung!$J$133+$L$115,0)</f>
        <v>0</v>
      </c>
      <c r="G157" s="551">
        <f>IF(B157=Hochbauplanung!$U$143,Hochbauplanung!$J$143+$L$116,0)</f>
        <v>0</v>
      </c>
      <c r="H157" s="551">
        <f>IF(B157=Hochbauplanung!$U$149,Hochbauplanung!$J$149+$L$117,0)</f>
        <v>0</v>
      </c>
      <c r="I157" s="551">
        <f>IF(B157=Hochbauplanung!$U$156,Hochbauplanung!$J$156+$L$118,0)</f>
        <v>0</v>
      </c>
      <c r="J157" s="551">
        <f>IF(B157=Hochbauplanung!$U$160,Hochbauplanung!$J$160+$L$119,0)</f>
        <v>0</v>
      </c>
      <c r="K157" s="551">
        <f>IF(B157=Hochbauplanung!$U$162,Hochbauplanung!$J$162+$L$120,0)</f>
        <v>0</v>
      </c>
      <c r="L157" s="551">
        <f>IF(B157=Hochbauplanung!$U$166,Hochbauplanung!$J$166+Hochbauplanung!$R$170+$L$121,0)</f>
        <v>0</v>
      </c>
      <c r="M157" s="551">
        <f>IF(B157=Hochbauplanung!$U$172,Hochbauplanung!$J$172+$L$122,0)</f>
        <v>0</v>
      </c>
      <c r="N157" s="551">
        <f>IF(B157=Hochbauplanung!$U$198,Hochbauplanung!$J$198+$L$123,0)</f>
        <v>0</v>
      </c>
      <c r="O157" s="551">
        <f>IF(B157=Hochbauplanung!$U$215,Hochbauplanung!$J$215+$L$124,0)</f>
        <v>0</v>
      </c>
      <c r="P157" s="552">
        <f>IF(B157=Hochbauplanung!$U$263,Hochbauplanung!$J$263+$L$125,0)</f>
        <v>0</v>
      </c>
      <c r="Q157" s="553">
        <f t="shared" si="11"/>
        <v>0</v>
      </c>
      <c r="T157" s="273"/>
      <c r="U157" s="274"/>
      <c r="V157" s="275"/>
    </row>
    <row r="158" spans="2:22" ht="14.55" x14ac:dyDescent="0.3">
      <c r="B158" s="505">
        <f>IF(Überblick!$H$53&gt;=3,3,"")</f>
        <v>3</v>
      </c>
      <c r="C158" s="550">
        <f>IF(B158=Hochbauplanung!$U$61,Hochbauplanung!$J$61+Hochbauplanung!$I$60,0)</f>
        <v>0</v>
      </c>
      <c r="D158" s="551">
        <f>IF(B158=Hochbauplanung!$U$77,Hochbauplanung!$J$77+Hochbauplanung!$I$76,0)</f>
        <v>0</v>
      </c>
      <c r="E158" s="551">
        <f>IF(B158=Hochbauplanung!$U$105,Hochbauplanung!$J$105+Hochbauplanung!$I$104,0)</f>
        <v>0</v>
      </c>
      <c r="F158" s="551">
        <f>IF(B158=Hochbauplanung!$U$133,Hochbauplanung!$J$133+$L$115,0)</f>
        <v>0</v>
      </c>
      <c r="G158" s="551">
        <f>IF(B158=Hochbauplanung!$U$143,Hochbauplanung!$J$143+$L$116,0)</f>
        <v>0</v>
      </c>
      <c r="H158" s="551">
        <f>IF(B158=Hochbauplanung!$U$149,Hochbauplanung!$J$149+$L$117,0)</f>
        <v>0</v>
      </c>
      <c r="I158" s="551">
        <f>IF(B158=Hochbauplanung!$U$156,Hochbauplanung!$J$156+$L$118,0)</f>
        <v>0</v>
      </c>
      <c r="J158" s="551">
        <f>IF(B158=Hochbauplanung!$U$160,Hochbauplanung!$J$160+$L$119,0)</f>
        <v>0</v>
      </c>
      <c r="K158" s="551">
        <f>IF(B158=Hochbauplanung!$U$162,Hochbauplanung!$J$162+$L$120,0)</f>
        <v>0</v>
      </c>
      <c r="L158" s="551">
        <f>IF(B158=Hochbauplanung!$U$166,Hochbauplanung!$J$166+Hochbauplanung!$R$170+$L$121,0)</f>
        <v>0</v>
      </c>
      <c r="M158" s="551">
        <f>IF(B158=Hochbauplanung!$U$172,Hochbauplanung!$J$172+$L$122,0)</f>
        <v>0</v>
      </c>
      <c r="N158" s="551">
        <f>IF(B158=Hochbauplanung!$U$198,Hochbauplanung!$J$198+$L$123,0)</f>
        <v>0</v>
      </c>
      <c r="O158" s="551">
        <f>IF(B158=Hochbauplanung!$U$215,Hochbauplanung!$J$215+$L$124,0)</f>
        <v>0</v>
      </c>
      <c r="P158" s="552">
        <f>IF(B158=Hochbauplanung!$U$263,Hochbauplanung!$J$263+$L$125,0)</f>
        <v>0</v>
      </c>
      <c r="Q158" s="553">
        <f t="shared" si="11"/>
        <v>0</v>
      </c>
      <c r="T158" s="273"/>
      <c r="U158" s="274"/>
      <c r="V158" s="275"/>
    </row>
    <row r="159" spans="2:22" ht="14.55" x14ac:dyDescent="0.3">
      <c r="B159" s="505" t="str">
        <f>IF(Überblick!$H$53&gt;=4,4,"")</f>
        <v/>
      </c>
      <c r="C159" s="550">
        <f>IF(B159=Hochbauplanung!$U$61,Hochbauplanung!$J$61+Hochbauplanung!$I$60,0)</f>
        <v>0</v>
      </c>
      <c r="D159" s="551">
        <f>IF(B159=Hochbauplanung!$U$77,Hochbauplanung!$J$77+Hochbauplanung!$I$76,0)</f>
        <v>0</v>
      </c>
      <c r="E159" s="551">
        <f>IF(B159=Hochbauplanung!$U$105,Hochbauplanung!$J$105+Hochbauplanung!$I$104,0)</f>
        <v>0</v>
      </c>
      <c r="F159" s="551">
        <f>IF(B159=Hochbauplanung!$U$133,Hochbauplanung!$J$133+$L$115,0)</f>
        <v>0</v>
      </c>
      <c r="G159" s="551">
        <f>IF(B159=Hochbauplanung!$U$143,Hochbauplanung!$J$143+$L$116,0)</f>
        <v>0</v>
      </c>
      <c r="H159" s="551">
        <f>IF(B159=Hochbauplanung!$U$149,Hochbauplanung!$J$149+$L$117,0)</f>
        <v>0</v>
      </c>
      <c r="I159" s="551">
        <f>IF(B159=Hochbauplanung!$U$156,Hochbauplanung!$J$156+$L$118,0)</f>
        <v>0</v>
      </c>
      <c r="J159" s="551">
        <f>IF(B159=Hochbauplanung!$U$160,Hochbauplanung!$J$160+$L$119,0)</f>
        <v>0</v>
      </c>
      <c r="K159" s="551">
        <f>IF(B159=Hochbauplanung!$U$162,Hochbauplanung!$J$162+$L$120,0)</f>
        <v>0</v>
      </c>
      <c r="L159" s="551">
        <f>IF(B159=Hochbauplanung!$U$166,Hochbauplanung!$J$166+Hochbauplanung!$R$170+$L$121,0)</f>
        <v>0</v>
      </c>
      <c r="M159" s="551">
        <f>IF(B159=Hochbauplanung!$U$172,Hochbauplanung!$J$172+$L$122,0)</f>
        <v>0</v>
      </c>
      <c r="N159" s="551">
        <f>IF(B159=Hochbauplanung!$U$198,Hochbauplanung!$J$198+$L$123,0)</f>
        <v>0</v>
      </c>
      <c r="O159" s="551">
        <f>IF(B159=Hochbauplanung!$U$215,Hochbauplanung!$J$215+$L$124,0)</f>
        <v>0</v>
      </c>
      <c r="P159" s="552">
        <f>IF(B159=Hochbauplanung!$U$263,Hochbauplanung!$J$263+$L$125,0)</f>
        <v>0</v>
      </c>
      <c r="Q159" s="553">
        <f>SUM(C159:P159)</f>
        <v>0</v>
      </c>
      <c r="T159" s="273"/>
      <c r="U159" s="274"/>
      <c r="V159" s="275"/>
    </row>
    <row r="160" spans="2:22" ht="14.55" x14ac:dyDescent="0.3">
      <c r="B160" s="505" t="str">
        <f>IF(Überblick!$H$53&gt;=5,5,"")</f>
        <v/>
      </c>
      <c r="C160" s="550">
        <f>IF(B160=Hochbauplanung!$U$61,Hochbauplanung!$J$61+Hochbauplanung!$I$60,0)</f>
        <v>0</v>
      </c>
      <c r="D160" s="551">
        <f>IF(B160=Hochbauplanung!$U$77,Hochbauplanung!$J$77+Hochbauplanung!$I$76,0)</f>
        <v>0</v>
      </c>
      <c r="E160" s="551">
        <f>IF(B160=Hochbauplanung!$U$105,Hochbauplanung!$J$105+Hochbauplanung!$I$104,0)</f>
        <v>0</v>
      </c>
      <c r="F160" s="551">
        <f>IF(B160=Hochbauplanung!$U$133,Hochbauplanung!$J$133+$L$115,0)</f>
        <v>0</v>
      </c>
      <c r="G160" s="551">
        <f>IF(B160=Hochbauplanung!$U$143,Hochbauplanung!$J$143+$L$116,0)</f>
        <v>0</v>
      </c>
      <c r="H160" s="551">
        <f>IF(B160=Hochbauplanung!$U$149,Hochbauplanung!$J$149+$L$117,0)</f>
        <v>0</v>
      </c>
      <c r="I160" s="551">
        <f>IF(B160=Hochbauplanung!$U$156,Hochbauplanung!$J$156+$L$118,0)</f>
        <v>0</v>
      </c>
      <c r="J160" s="551">
        <f>IF(B160=Hochbauplanung!$U$160,Hochbauplanung!$J$160+$L$119,0)</f>
        <v>0</v>
      </c>
      <c r="K160" s="551">
        <f>IF(B160=Hochbauplanung!$U$162,Hochbauplanung!$J$162+$L$120,0)</f>
        <v>0</v>
      </c>
      <c r="L160" s="551">
        <f>IF(B160=Hochbauplanung!$U$166,Hochbauplanung!$J$166+Hochbauplanung!$R$170+$L$121,0)</f>
        <v>0</v>
      </c>
      <c r="M160" s="551">
        <f>IF(B160=Hochbauplanung!$U$172,Hochbauplanung!$J$172+$L$122,0)</f>
        <v>0</v>
      </c>
      <c r="N160" s="551">
        <f>IF(B160=Hochbauplanung!$U$198,Hochbauplanung!$J$198+$L$123,0)</f>
        <v>0</v>
      </c>
      <c r="O160" s="551">
        <f>IF(B160=Hochbauplanung!$U$215,Hochbauplanung!$J$215+$L$124,0)</f>
        <v>0</v>
      </c>
      <c r="P160" s="552">
        <f>IF(B160=Hochbauplanung!$U$263,Hochbauplanung!$J$263+$L$125,0)</f>
        <v>0</v>
      </c>
      <c r="Q160" s="553">
        <f t="shared" ref="Q160:Q164" si="12">SUM(C160:P160)</f>
        <v>0</v>
      </c>
      <c r="T160" s="273"/>
      <c r="U160" s="274"/>
      <c r="V160" s="275"/>
    </row>
    <row r="161" spans="2:22" ht="14.55" x14ac:dyDescent="0.3">
      <c r="B161" s="505" t="str">
        <f>IF(Überblick!$H$53&gt;=6,6,"")</f>
        <v/>
      </c>
      <c r="C161" s="550">
        <f>IF(B161=Hochbauplanung!$U$61,Hochbauplanung!$J$61+Hochbauplanung!$I$60,0)</f>
        <v>0</v>
      </c>
      <c r="D161" s="551">
        <f>IF(B161=Hochbauplanung!$U$77,Hochbauplanung!$J$77+Hochbauplanung!$I$76,0)</f>
        <v>0</v>
      </c>
      <c r="E161" s="551">
        <f>IF(B161=Hochbauplanung!$U$105,Hochbauplanung!$J$105+Hochbauplanung!$I$104,0)</f>
        <v>0</v>
      </c>
      <c r="F161" s="551">
        <f>IF(B161=Hochbauplanung!$U$133,Hochbauplanung!$J$133+$L$115,0)</f>
        <v>0</v>
      </c>
      <c r="G161" s="551">
        <f>IF(B161=Hochbauplanung!$U$143,Hochbauplanung!$J$143+$L$116,0)</f>
        <v>0</v>
      </c>
      <c r="H161" s="551">
        <f>IF(B161=Hochbauplanung!$U$149,Hochbauplanung!$J$149+$L$117,0)</f>
        <v>0</v>
      </c>
      <c r="I161" s="551">
        <f>IF(B161=Hochbauplanung!$U$156,Hochbauplanung!$J$156+$L$118,0)</f>
        <v>0</v>
      </c>
      <c r="J161" s="551">
        <f>IF(B161=Hochbauplanung!$U$160,Hochbauplanung!$J$160+$L$119,0)</f>
        <v>0</v>
      </c>
      <c r="K161" s="551">
        <f>IF(B161=Hochbauplanung!$U$162,Hochbauplanung!$J$162+$L$120,0)</f>
        <v>0</v>
      </c>
      <c r="L161" s="551">
        <f>IF(B161=Hochbauplanung!$U$166,Hochbauplanung!$J$166+Hochbauplanung!$R$170+$L$121,0)</f>
        <v>0</v>
      </c>
      <c r="M161" s="551">
        <f>IF(B161=Hochbauplanung!$U$172,Hochbauplanung!$J$172+$L$122,0)</f>
        <v>0</v>
      </c>
      <c r="N161" s="551">
        <f>IF(B161=Hochbauplanung!$U$198,Hochbauplanung!$J$198+$L$123,0)</f>
        <v>0</v>
      </c>
      <c r="O161" s="551">
        <f>IF(B161=Hochbauplanung!$U$215,Hochbauplanung!$J$215+$L$124,0)</f>
        <v>0</v>
      </c>
      <c r="P161" s="552">
        <f>IF(B161=Hochbauplanung!$U$263,Hochbauplanung!$J$263+$L$125,0)</f>
        <v>0</v>
      </c>
      <c r="Q161" s="553">
        <f t="shared" si="12"/>
        <v>0</v>
      </c>
      <c r="T161" s="273"/>
      <c r="U161" s="274"/>
      <c r="V161" s="275"/>
    </row>
    <row r="162" spans="2:22" ht="14.55" x14ac:dyDescent="0.3">
      <c r="B162" s="505" t="str">
        <f>IF(Überblick!$H$53&gt;=7,7,"")</f>
        <v/>
      </c>
      <c r="C162" s="550">
        <f>IF(B162=Hochbauplanung!$U$61,Hochbauplanung!$J$61+Hochbauplanung!$I$60,0)</f>
        <v>0</v>
      </c>
      <c r="D162" s="551">
        <f>IF(B162=Hochbauplanung!$U$77,Hochbauplanung!$J$77+Hochbauplanung!$I$76,0)</f>
        <v>0</v>
      </c>
      <c r="E162" s="551">
        <f>IF(B162=Hochbauplanung!$U$105,Hochbauplanung!$J$105+Hochbauplanung!$I$104,0)</f>
        <v>0</v>
      </c>
      <c r="F162" s="551">
        <f>IF(B162=Hochbauplanung!$U$133,Hochbauplanung!$J$133+$L$115,0)</f>
        <v>0</v>
      </c>
      <c r="G162" s="551">
        <f>IF(B162=Hochbauplanung!$U$143,Hochbauplanung!$J$143+$L$116,0)</f>
        <v>0</v>
      </c>
      <c r="H162" s="551">
        <f>IF(B162=Hochbauplanung!$U$149,Hochbauplanung!$J$149+$L$117,0)</f>
        <v>0</v>
      </c>
      <c r="I162" s="551">
        <f>IF(B162=Hochbauplanung!$U$156,Hochbauplanung!$J$156+$L$118,0)</f>
        <v>0</v>
      </c>
      <c r="J162" s="551">
        <f>IF(B162=Hochbauplanung!$U$160,Hochbauplanung!$J$160+$L$119,0)</f>
        <v>0</v>
      </c>
      <c r="K162" s="551">
        <f>IF(B162=Hochbauplanung!$U$162,Hochbauplanung!$J$162+$L$120,0)</f>
        <v>0</v>
      </c>
      <c r="L162" s="551">
        <f>IF(B162=Hochbauplanung!$U$166,Hochbauplanung!$J$166+Hochbauplanung!$R$170+$L$121,0)</f>
        <v>0</v>
      </c>
      <c r="M162" s="551">
        <f>IF(B162=Hochbauplanung!$U$172,Hochbauplanung!$J$172+$L$122,0)</f>
        <v>0</v>
      </c>
      <c r="N162" s="551">
        <f>IF(B162=Hochbauplanung!$U$198,Hochbauplanung!$J$198+$L$123,0)</f>
        <v>0</v>
      </c>
      <c r="O162" s="551">
        <f>IF(B162=Hochbauplanung!$U$215,Hochbauplanung!$J$215+$L$124,0)</f>
        <v>0</v>
      </c>
      <c r="P162" s="552">
        <f>IF(B162=Hochbauplanung!$U$263,Hochbauplanung!$J$263+$L$125,0)</f>
        <v>0</v>
      </c>
      <c r="Q162" s="553">
        <f t="shared" si="12"/>
        <v>0</v>
      </c>
      <c r="T162" s="273"/>
      <c r="U162" s="274"/>
      <c r="V162" s="275"/>
    </row>
    <row r="163" spans="2:22" ht="14.55" x14ac:dyDescent="0.3">
      <c r="B163" s="505" t="str">
        <f>IF(Überblick!$H$53&gt;=8,8,"")</f>
        <v/>
      </c>
      <c r="C163" s="550">
        <f>IF(B163=Hochbauplanung!$U$61,Hochbauplanung!$J$61+Hochbauplanung!$I$60,0)</f>
        <v>0</v>
      </c>
      <c r="D163" s="551">
        <f>IF(B163=Hochbauplanung!$U$77,Hochbauplanung!$J$77+Hochbauplanung!$I$76,0)</f>
        <v>0</v>
      </c>
      <c r="E163" s="551">
        <f>IF(B163=Hochbauplanung!$U$105,Hochbauplanung!$J$105+Hochbauplanung!$I$104,0)</f>
        <v>0</v>
      </c>
      <c r="F163" s="551">
        <f>IF(B163=Hochbauplanung!$U$133,Hochbauplanung!$J$133+$L$115,0)</f>
        <v>0</v>
      </c>
      <c r="G163" s="551">
        <f>IF(B163=Hochbauplanung!$U$143,Hochbauplanung!$J$143+$L$116,0)</f>
        <v>0</v>
      </c>
      <c r="H163" s="551">
        <f>IF(B163=Hochbauplanung!$U$149,Hochbauplanung!$J$149+$L$117,0)</f>
        <v>0</v>
      </c>
      <c r="I163" s="551">
        <f>IF(B163=Hochbauplanung!$U$156,Hochbauplanung!$J$156+$L$118,0)</f>
        <v>0</v>
      </c>
      <c r="J163" s="551">
        <f>IF(B163=Hochbauplanung!$U$160,Hochbauplanung!$J$160+$L$119,0)</f>
        <v>0</v>
      </c>
      <c r="K163" s="551">
        <f>IF(B163=Hochbauplanung!$U$162,Hochbauplanung!$J$162+$L$120,0)</f>
        <v>0</v>
      </c>
      <c r="L163" s="551">
        <f>IF(B163=Hochbauplanung!$U$166,Hochbauplanung!$J$166+Hochbauplanung!$R$170+$L$121,0)</f>
        <v>0</v>
      </c>
      <c r="M163" s="551">
        <f>IF(B163=Hochbauplanung!$U$172,Hochbauplanung!$J$172+$L$122,0)</f>
        <v>0</v>
      </c>
      <c r="N163" s="551">
        <f>IF(B163=Hochbauplanung!$U$198,Hochbauplanung!$J$198+$L$123,0)</f>
        <v>0</v>
      </c>
      <c r="O163" s="551">
        <f>IF(B163=Hochbauplanung!$U$215,Hochbauplanung!$J$215+$L$124,0)</f>
        <v>0</v>
      </c>
      <c r="P163" s="552">
        <f>IF(B163=Hochbauplanung!$U$263,Hochbauplanung!$J$263+$L$125,0)</f>
        <v>0</v>
      </c>
      <c r="Q163" s="554">
        <f t="shared" si="12"/>
        <v>0</v>
      </c>
      <c r="T163" s="273"/>
      <c r="U163" s="274"/>
      <c r="V163" s="275"/>
    </row>
    <row r="164" spans="2:22" ht="15.2" thickBot="1" x14ac:dyDescent="0.35">
      <c r="B164" s="509" t="str">
        <f>IF(Überblick!$H$53&gt;=9,9,"")</f>
        <v/>
      </c>
      <c r="C164" s="555">
        <f>IF(B164=Hochbauplanung!$U$61,Hochbauplanung!$J$61+Hochbauplanung!$I$60,0)</f>
        <v>0</v>
      </c>
      <c r="D164" s="556">
        <f>IF(B164=Hochbauplanung!$U$77,Hochbauplanung!$J$77+Hochbauplanung!$I$76,0)</f>
        <v>0</v>
      </c>
      <c r="E164" s="556">
        <f>IF(B164=Hochbauplanung!$U$105,Hochbauplanung!$J$105+Hochbauplanung!$I$104,0)</f>
        <v>0</v>
      </c>
      <c r="F164" s="556">
        <f>IF(B164=Hochbauplanung!$U$133,Hochbauplanung!$J$133+$L$115,0)</f>
        <v>0</v>
      </c>
      <c r="G164" s="556">
        <f>IF(B164=Hochbauplanung!$U$143,Hochbauplanung!$J$143+$L$116,0)</f>
        <v>0</v>
      </c>
      <c r="H164" s="556">
        <f>IF(B164=Hochbauplanung!$U$149,Hochbauplanung!$J$149+$L$117,0)</f>
        <v>0</v>
      </c>
      <c r="I164" s="556">
        <f>IF(B164=Hochbauplanung!$U$156,Hochbauplanung!$J$156+$L$118,0)</f>
        <v>0</v>
      </c>
      <c r="J164" s="556">
        <f>IF(B164=Hochbauplanung!$U$160,Hochbauplanung!$J$160+$L$119,0)</f>
        <v>0</v>
      </c>
      <c r="K164" s="556">
        <f>IF(B164=Hochbauplanung!$U$162,Hochbauplanung!$J$162+$L$120,0)</f>
        <v>0</v>
      </c>
      <c r="L164" s="556">
        <f>IF(B164=Hochbauplanung!$U$166,Hochbauplanung!$J$166+Hochbauplanung!$R$170+$L$121,0)</f>
        <v>0</v>
      </c>
      <c r="M164" s="556">
        <f>IF(B164=Hochbauplanung!$U$172,Hochbauplanung!$J$172+$L$122,0)</f>
        <v>0</v>
      </c>
      <c r="N164" s="556">
        <f>IF(B164=Hochbauplanung!$U$198,Hochbauplanung!$J$198+$L$123,0)</f>
        <v>0</v>
      </c>
      <c r="O164" s="556">
        <f>IF(B164=Hochbauplanung!$U$215,Hochbauplanung!$J$215+$L$124,0)</f>
        <v>0</v>
      </c>
      <c r="P164" s="557">
        <f>IF(B164=Hochbauplanung!$U$263,Hochbauplanung!$J$263+$L$125,0)</f>
        <v>0</v>
      </c>
      <c r="Q164" s="558">
        <f t="shared" si="12"/>
        <v>0</v>
      </c>
      <c r="T164" s="273"/>
      <c r="U164" s="274"/>
      <c r="V164" s="275"/>
    </row>
    <row r="165" spans="2:22" ht="15.2" thickBot="1" x14ac:dyDescent="0.35">
      <c r="Q165" s="559">
        <f>SUM(Q156:Q164)</f>
        <v>0</v>
      </c>
      <c r="T165" s="273"/>
      <c r="U165" s="274"/>
      <c r="V165" s="275"/>
    </row>
    <row r="166" spans="2:22" ht="14.55" x14ac:dyDescent="0.3">
      <c r="T166" s="273"/>
      <c r="U166" s="274"/>
      <c r="V166" s="275"/>
    </row>
    <row r="167" spans="2:22" ht="14.55" x14ac:dyDescent="0.3">
      <c r="T167" s="273"/>
      <c r="U167" s="274"/>
      <c r="V167" s="275"/>
    </row>
    <row r="168" spans="2:22" ht="14.55" x14ac:dyDescent="0.3">
      <c r="T168" s="273"/>
      <c r="U168" s="274"/>
      <c r="V168" s="275"/>
    </row>
    <row r="169" spans="2:22" ht="14.55" x14ac:dyDescent="0.3">
      <c r="T169" s="273"/>
      <c r="U169" s="274"/>
      <c r="V169" s="275"/>
    </row>
    <row r="170" spans="2:22" ht="14.55" x14ac:dyDescent="0.3">
      <c r="T170" s="273"/>
      <c r="U170" s="274"/>
      <c r="V170" s="275"/>
    </row>
    <row r="171" spans="2:22" ht="14.55" x14ac:dyDescent="0.3">
      <c r="T171" s="273"/>
      <c r="U171" s="274"/>
      <c r="V171" s="275"/>
    </row>
    <row r="172" spans="2:22" ht="14.55" x14ac:dyDescent="0.3">
      <c r="T172" s="273"/>
      <c r="U172" s="274"/>
      <c r="V172" s="275"/>
    </row>
    <row r="173" spans="2:22" ht="14.55" x14ac:dyDescent="0.3">
      <c r="T173" s="273"/>
      <c r="U173" s="274"/>
      <c r="V173" s="275"/>
    </row>
    <row r="174" spans="2:22" ht="14.55" x14ac:dyDescent="0.3">
      <c r="T174" s="273"/>
      <c r="U174" s="274"/>
      <c r="V174" s="275"/>
    </row>
    <row r="175" spans="2:22" ht="14.55" x14ac:dyDescent="0.3">
      <c r="T175" s="273"/>
      <c r="U175" s="274"/>
      <c r="V175" s="275"/>
    </row>
    <row r="176" spans="2:22" ht="14.55" x14ac:dyDescent="0.3">
      <c r="T176" s="273"/>
      <c r="U176" s="274"/>
      <c r="V176" s="275"/>
    </row>
    <row r="177" spans="20:22" ht="14.55" x14ac:dyDescent="0.3">
      <c r="T177" s="273"/>
      <c r="U177" s="274"/>
      <c r="V177" s="275"/>
    </row>
    <row r="178" spans="20:22" ht="14.55" x14ac:dyDescent="0.3">
      <c r="T178" s="273"/>
      <c r="U178" s="274"/>
      <c r="V178" s="275"/>
    </row>
    <row r="179" spans="20:22" ht="14.55" x14ac:dyDescent="0.3">
      <c r="T179" s="273"/>
      <c r="U179" s="274"/>
      <c r="V179" s="275"/>
    </row>
    <row r="180" spans="20:22" ht="14.55" x14ac:dyDescent="0.3">
      <c r="T180" s="273"/>
      <c r="U180" s="274"/>
      <c r="V180" s="275"/>
    </row>
    <row r="181" spans="20:22" ht="14.55" x14ac:dyDescent="0.3">
      <c r="T181" s="273"/>
      <c r="U181" s="274"/>
      <c r="V181" s="275"/>
    </row>
    <row r="182" spans="20:22" ht="14.55" x14ac:dyDescent="0.3">
      <c r="T182" s="273"/>
      <c r="U182" s="274"/>
      <c r="V182" s="275"/>
    </row>
    <row r="183" spans="20:22" ht="14.55" x14ac:dyDescent="0.3">
      <c r="T183" s="273"/>
      <c r="U183" s="274"/>
      <c r="V183" s="275"/>
    </row>
    <row r="184" spans="20:22" ht="14.55" x14ac:dyDescent="0.3">
      <c r="T184" s="273"/>
      <c r="U184" s="274"/>
      <c r="V184" s="275"/>
    </row>
    <row r="185" spans="20:22" ht="14.55" x14ac:dyDescent="0.3">
      <c r="T185" s="273"/>
      <c r="U185" s="274"/>
      <c r="V185" s="275"/>
    </row>
    <row r="186" spans="20:22" ht="14.55" x14ac:dyDescent="0.3">
      <c r="T186" s="273"/>
      <c r="U186" s="274"/>
      <c r="V186" s="275"/>
    </row>
    <row r="187" spans="20:22" ht="14.55" x14ac:dyDescent="0.3">
      <c r="T187" s="273"/>
      <c r="U187" s="274"/>
      <c r="V187" s="275"/>
    </row>
    <row r="188" spans="20:22" ht="14.55" x14ac:dyDescent="0.3">
      <c r="T188" s="273"/>
      <c r="U188" s="274"/>
      <c r="V188" s="275"/>
    </row>
    <row r="189" spans="20:22" ht="14.55" x14ac:dyDescent="0.3">
      <c r="T189" s="273"/>
      <c r="U189" s="274"/>
      <c r="V189" s="275"/>
    </row>
    <row r="190" spans="20:22" ht="14.55" x14ac:dyDescent="0.3">
      <c r="T190" s="273"/>
      <c r="U190" s="274"/>
      <c r="V190" s="275"/>
    </row>
    <row r="191" spans="20:22" ht="14.55" x14ac:dyDescent="0.3">
      <c r="T191" s="273"/>
      <c r="U191" s="274"/>
      <c r="V191" s="275"/>
    </row>
    <row r="192" spans="20:22" ht="14.55" x14ac:dyDescent="0.3">
      <c r="T192" s="273"/>
      <c r="U192" s="274"/>
      <c r="V192" s="275"/>
    </row>
    <row r="193" spans="20:22" ht="14.55" x14ac:dyDescent="0.3">
      <c r="T193" s="273"/>
      <c r="U193" s="274"/>
      <c r="V193" s="275"/>
    </row>
    <row r="194" spans="20:22" ht="14.55" x14ac:dyDescent="0.3">
      <c r="T194" s="273"/>
      <c r="U194" s="274"/>
      <c r="V194" s="560"/>
    </row>
    <row r="195" spans="20:22" ht="14.55" x14ac:dyDescent="0.3">
      <c r="T195" s="273"/>
      <c r="U195" s="274"/>
      <c r="V195" s="275"/>
    </row>
    <row r="196" spans="20:22" ht="14.55" x14ac:dyDescent="0.3">
      <c r="T196" s="273"/>
      <c r="U196" s="274"/>
      <c r="V196" s="275"/>
    </row>
    <row r="197" spans="20:22" ht="14.55" x14ac:dyDescent="0.3">
      <c r="T197" s="273"/>
      <c r="U197" s="274"/>
      <c r="V197" s="275"/>
    </row>
    <row r="198" spans="20:22" ht="14.55" x14ac:dyDescent="0.3">
      <c r="T198" s="273"/>
      <c r="U198" s="274"/>
      <c r="V198" s="275"/>
    </row>
    <row r="199" spans="20:22" ht="14.55" x14ac:dyDescent="0.3">
      <c r="T199" s="273"/>
      <c r="U199" s="274"/>
      <c r="V199" s="275"/>
    </row>
    <row r="200" spans="20:22" ht="14.55" x14ac:dyDescent="0.3">
      <c r="T200" s="273"/>
      <c r="U200" s="274"/>
      <c r="V200" s="275"/>
    </row>
    <row r="201" spans="20:22" ht="14.55" x14ac:dyDescent="0.3">
      <c r="T201" s="273"/>
      <c r="U201" s="274"/>
      <c r="V201" s="275"/>
    </row>
    <row r="202" spans="20:22" ht="14.55" x14ac:dyDescent="0.3">
      <c r="T202" s="273"/>
      <c r="U202" s="274"/>
      <c r="V202" s="275"/>
    </row>
    <row r="203" spans="20:22" ht="14.55" x14ac:dyDescent="0.3">
      <c r="T203" s="273"/>
      <c r="U203" s="274"/>
      <c r="V203" s="275"/>
    </row>
    <row r="204" spans="20:22" ht="14.55" x14ac:dyDescent="0.3">
      <c r="T204" s="273"/>
      <c r="U204" s="274"/>
      <c r="V204" s="275"/>
    </row>
    <row r="205" spans="20:22" ht="14.55" x14ac:dyDescent="0.3">
      <c r="T205" s="273"/>
      <c r="U205" s="274"/>
      <c r="V205" s="275"/>
    </row>
    <row r="206" spans="20:22" ht="14.55" x14ac:dyDescent="0.3">
      <c r="T206" s="273"/>
      <c r="U206" s="274"/>
      <c r="V206" s="275"/>
    </row>
    <row r="207" spans="20:22" ht="14.55" x14ac:dyDescent="0.3">
      <c r="T207" s="273"/>
      <c r="U207" s="274"/>
      <c r="V207" s="275"/>
    </row>
    <row r="208" spans="20:22" ht="14.55" x14ac:dyDescent="0.3">
      <c r="T208" s="273"/>
      <c r="U208" s="274"/>
      <c r="V208" s="275"/>
    </row>
    <row r="209" spans="20:22" ht="14.55" x14ac:dyDescent="0.3">
      <c r="T209" s="273"/>
      <c r="U209" s="274"/>
      <c r="V209" s="275"/>
    </row>
    <row r="210" spans="20:22" ht="14.55" x14ac:dyDescent="0.3">
      <c r="T210" s="273"/>
      <c r="U210" s="274"/>
      <c r="V210" s="275"/>
    </row>
    <row r="211" spans="20:22" ht="14.55" x14ac:dyDescent="0.3">
      <c r="T211" s="273"/>
      <c r="U211" s="274"/>
      <c r="V211" s="275"/>
    </row>
    <row r="212" spans="20:22" ht="14.55" x14ac:dyDescent="0.3">
      <c r="T212" s="273"/>
      <c r="U212" s="274"/>
      <c r="V212" s="275"/>
    </row>
    <row r="213" spans="20:22" ht="14.55" x14ac:dyDescent="0.3">
      <c r="T213" s="273"/>
      <c r="U213" s="274"/>
      <c r="V213" s="275"/>
    </row>
    <row r="214" spans="20:22" ht="14.55" x14ac:dyDescent="0.3">
      <c r="T214" s="273"/>
      <c r="U214" s="274"/>
      <c r="V214" s="275"/>
    </row>
    <row r="215" spans="20:22" ht="14.55" x14ac:dyDescent="0.3">
      <c r="T215" s="273"/>
      <c r="U215" s="274"/>
      <c r="V215" s="275"/>
    </row>
    <row r="216" spans="20:22" ht="14.55" x14ac:dyDescent="0.3">
      <c r="T216" s="273"/>
      <c r="U216" s="274"/>
      <c r="V216" s="275"/>
    </row>
    <row r="217" spans="20:22" ht="14.55" x14ac:dyDescent="0.3">
      <c r="T217" s="273"/>
      <c r="U217" s="274"/>
      <c r="V217" s="275"/>
    </row>
    <row r="218" spans="20:22" ht="14.55" x14ac:dyDescent="0.3">
      <c r="T218" s="273"/>
      <c r="U218" s="274"/>
      <c r="V218" s="275"/>
    </row>
    <row r="219" spans="20:22" ht="14.55" x14ac:dyDescent="0.3">
      <c r="T219" s="273"/>
      <c r="U219" s="274"/>
      <c r="V219" s="275"/>
    </row>
    <row r="220" spans="20:22" ht="14.55" x14ac:dyDescent="0.3">
      <c r="T220" s="273"/>
      <c r="U220" s="274"/>
      <c r="V220" s="275"/>
    </row>
    <row r="221" spans="20:22" ht="14.55" x14ac:dyDescent="0.3">
      <c r="T221" s="273"/>
      <c r="U221" s="274"/>
      <c r="V221" s="275"/>
    </row>
    <row r="222" spans="20:22" ht="14.55" x14ac:dyDescent="0.3">
      <c r="T222" s="273"/>
      <c r="U222" s="274"/>
      <c r="V222" s="275"/>
    </row>
    <row r="223" spans="20:22" ht="14.55" x14ac:dyDescent="0.3">
      <c r="T223" s="273"/>
      <c r="U223" s="274"/>
      <c r="V223" s="275"/>
    </row>
    <row r="224" spans="20:22" ht="14.55" x14ac:dyDescent="0.3">
      <c r="T224" s="273"/>
      <c r="U224" s="274"/>
      <c r="V224" s="275"/>
    </row>
    <row r="225" spans="20:22" ht="14.55" x14ac:dyDescent="0.3">
      <c r="T225" s="273"/>
      <c r="U225" s="274"/>
      <c r="V225" s="275"/>
    </row>
    <row r="226" spans="20:22" ht="14.55" x14ac:dyDescent="0.3">
      <c r="T226" s="273"/>
      <c r="U226" s="274"/>
      <c r="V226" s="275"/>
    </row>
    <row r="227" spans="20:22" ht="14.55" x14ac:dyDescent="0.3">
      <c r="T227" s="273"/>
      <c r="U227" s="274"/>
      <c r="V227" s="275"/>
    </row>
    <row r="228" spans="20:22" ht="14.55" x14ac:dyDescent="0.3">
      <c r="T228" s="273"/>
      <c r="U228" s="274"/>
      <c r="V228" s="275"/>
    </row>
    <row r="229" spans="20:22" ht="14.55" x14ac:dyDescent="0.3">
      <c r="T229" s="273"/>
      <c r="U229" s="274"/>
      <c r="V229" s="275"/>
    </row>
    <row r="230" spans="20:22" ht="14.55" x14ac:dyDescent="0.3">
      <c r="T230" s="273"/>
      <c r="U230" s="274"/>
      <c r="V230" s="275"/>
    </row>
    <row r="231" spans="20:22" ht="14.55" x14ac:dyDescent="0.3">
      <c r="T231" s="273"/>
      <c r="U231" s="274"/>
      <c r="V231" s="275"/>
    </row>
    <row r="232" spans="20:22" ht="14.55" x14ac:dyDescent="0.3">
      <c r="T232" s="273"/>
      <c r="U232" s="274"/>
      <c r="V232" s="275"/>
    </row>
    <row r="233" spans="20:22" ht="14.55" x14ac:dyDescent="0.3">
      <c r="T233" s="273"/>
      <c r="U233" s="274"/>
      <c r="V233" s="275"/>
    </row>
    <row r="234" spans="20:22" ht="14.55" x14ac:dyDescent="0.3">
      <c r="T234" s="273"/>
      <c r="U234" s="274"/>
      <c r="V234" s="275"/>
    </row>
    <row r="235" spans="20:22" ht="14.55" x14ac:dyDescent="0.3">
      <c r="T235" s="273"/>
      <c r="U235" s="274"/>
      <c r="V235" s="275"/>
    </row>
    <row r="236" spans="20:22" ht="14.55" x14ac:dyDescent="0.3">
      <c r="T236" s="273"/>
      <c r="U236" s="274"/>
      <c r="V236" s="275"/>
    </row>
    <row r="237" spans="20:22" ht="14.55" x14ac:dyDescent="0.3">
      <c r="T237" s="273"/>
      <c r="U237" s="274"/>
      <c r="V237" s="275"/>
    </row>
    <row r="238" spans="20:22" ht="14.55" x14ac:dyDescent="0.3">
      <c r="T238" s="273"/>
      <c r="U238" s="274"/>
      <c r="V238" s="275"/>
    </row>
    <row r="239" spans="20:22" ht="14.55" x14ac:dyDescent="0.3">
      <c r="T239" s="273"/>
      <c r="U239" s="274"/>
      <c r="V239" s="275"/>
    </row>
    <row r="240" spans="20:22" ht="14.55" x14ac:dyDescent="0.3">
      <c r="T240" s="273"/>
      <c r="U240" s="274"/>
      <c r="V240" s="275"/>
    </row>
    <row r="241" spans="20:22" ht="14.55" x14ac:dyDescent="0.3">
      <c r="T241" s="273"/>
      <c r="U241" s="274"/>
      <c r="V241" s="275"/>
    </row>
    <row r="242" spans="20:22" ht="14.55" x14ac:dyDescent="0.3">
      <c r="T242" s="273"/>
      <c r="U242" s="274"/>
      <c r="V242" s="275"/>
    </row>
    <row r="243" spans="20:22" ht="14.55" x14ac:dyDescent="0.3">
      <c r="T243" s="273"/>
      <c r="U243" s="274"/>
      <c r="V243" s="275"/>
    </row>
    <row r="244" spans="20:22" ht="14.55" x14ac:dyDescent="0.3">
      <c r="T244" s="273"/>
      <c r="U244" s="274"/>
      <c r="V244" s="275"/>
    </row>
    <row r="245" spans="20:22" ht="14.55" x14ac:dyDescent="0.3">
      <c r="T245" s="273"/>
      <c r="U245" s="274"/>
      <c r="V245" s="275"/>
    </row>
    <row r="246" spans="20:22" ht="14.55" x14ac:dyDescent="0.3">
      <c r="T246" s="273"/>
      <c r="U246" s="274"/>
      <c r="V246" s="275"/>
    </row>
    <row r="247" spans="20:22" ht="14.55" x14ac:dyDescent="0.3">
      <c r="T247" s="273"/>
      <c r="U247" s="274"/>
      <c r="V247" s="275"/>
    </row>
    <row r="248" spans="20:22" ht="14.55" x14ac:dyDescent="0.3">
      <c r="T248" s="273"/>
      <c r="U248" s="274"/>
      <c r="V248" s="275"/>
    </row>
    <row r="249" spans="20:22" ht="14.55" x14ac:dyDescent="0.3">
      <c r="T249" s="273"/>
      <c r="U249" s="274"/>
      <c r="V249" s="275"/>
    </row>
    <row r="250" spans="20:22" ht="14.55" x14ac:dyDescent="0.3">
      <c r="T250" s="273"/>
      <c r="U250" s="274"/>
      <c r="V250" s="275"/>
    </row>
    <row r="251" spans="20:22" ht="14.55" x14ac:dyDescent="0.3">
      <c r="T251" s="273"/>
      <c r="U251" s="274"/>
      <c r="V251" s="275"/>
    </row>
    <row r="252" spans="20:22" ht="14.55" x14ac:dyDescent="0.3">
      <c r="T252" s="273"/>
      <c r="U252" s="274"/>
      <c r="V252" s="275"/>
    </row>
    <row r="253" spans="20:22" ht="14.55" x14ac:dyDescent="0.3">
      <c r="T253" s="273"/>
      <c r="U253" s="274"/>
      <c r="V253" s="275"/>
    </row>
    <row r="254" spans="20:22" ht="14.55" x14ac:dyDescent="0.3">
      <c r="T254" s="273"/>
      <c r="U254" s="274"/>
      <c r="V254" s="275"/>
    </row>
    <row r="255" spans="20:22" ht="14.55" x14ac:dyDescent="0.3">
      <c r="T255" s="273"/>
      <c r="U255" s="274"/>
      <c r="V255" s="275"/>
    </row>
    <row r="256" spans="20:22" ht="14.55" x14ac:dyDescent="0.3">
      <c r="T256" s="273"/>
      <c r="U256" s="274"/>
      <c r="V256" s="275"/>
    </row>
    <row r="257" spans="20:22" ht="14.55" x14ac:dyDescent="0.3">
      <c r="T257" s="273"/>
      <c r="U257" s="274"/>
      <c r="V257" s="275"/>
    </row>
    <row r="258" spans="20:22" ht="14.55" x14ac:dyDescent="0.3">
      <c r="T258" s="273"/>
      <c r="U258" s="274"/>
      <c r="V258" s="275"/>
    </row>
    <row r="259" spans="20:22" ht="14.55" x14ac:dyDescent="0.3">
      <c r="T259" s="273"/>
      <c r="U259" s="274"/>
      <c r="V259" s="275"/>
    </row>
    <row r="260" spans="20:22" ht="14.55" x14ac:dyDescent="0.3">
      <c r="T260" s="273"/>
      <c r="U260" s="274"/>
      <c r="V260" s="275"/>
    </row>
    <row r="261" spans="20:22" ht="14.55" x14ac:dyDescent="0.3">
      <c r="T261" s="273"/>
      <c r="U261" s="274"/>
      <c r="V261" s="275"/>
    </row>
    <row r="262" spans="20:22" ht="14.55" x14ac:dyDescent="0.3">
      <c r="T262" s="273"/>
      <c r="U262" s="274"/>
      <c r="V262" s="275"/>
    </row>
    <row r="263" spans="20:22" ht="14.55" x14ac:dyDescent="0.3">
      <c r="T263" s="273"/>
      <c r="U263" s="274"/>
      <c r="V263" s="275"/>
    </row>
    <row r="264" spans="20:22" ht="14.55" x14ac:dyDescent="0.3">
      <c r="T264" s="273"/>
      <c r="U264" s="274"/>
      <c r="V264" s="275"/>
    </row>
    <row r="265" spans="20:22" ht="14.55" x14ac:dyDescent="0.3">
      <c r="T265" s="273"/>
      <c r="U265" s="274"/>
      <c r="V265" s="275"/>
    </row>
    <row r="266" spans="20:22" ht="14.55" x14ac:dyDescent="0.3">
      <c r="T266" s="273"/>
      <c r="U266" s="274"/>
      <c r="V266" s="275"/>
    </row>
    <row r="267" spans="20:22" ht="14.55" x14ac:dyDescent="0.3">
      <c r="T267" s="273"/>
      <c r="U267" s="274"/>
      <c r="V267" s="275"/>
    </row>
    <row r="268" spans="20:22" ht="14.55" x14ac:dyDescent="0.3">
      <c r="T268" s="273"/>
      <c r="U268" s="274"/>
      <c r="V268" s="275"/>
    </row>
    <row r="269" spans="20:22" ht="14.55" x14ac:dyDescent="0.3">
      <c r="T269" s="273"/>
      <c r="U269" s="274"/>
      <c r="V269" s="275"/>
    </row>
    <row r="270" spans="20:22" ht="14.55" x14ac:dyDescent="0.3">
      <c r="T270" s="273"/>
      <c r="U270" s="274"/>
      <c r="V270" s="275"/>
    </row>
    <row r="271" spans="20:22" ht="14.55" x14ac:dyDescent="0.3">
      <c r="T271" s="273"/>
      <c r="U271" s="274"/>
      <c r="V271" s="275"/>
    </row>
    <row r="272" spans="20:22" ht="14.55" x14ac:dyDescent="0.3">
      <c r="T272" s="273"/>
      <c r="U272" s="274"/>
      <c r="V272" s="275"/>
    </row>
    <row r="273" spans="20:22" ht="14.55" x14ac:dyDescent="0.3">
      <c r="T273" s="273"/>
      <c r="U273" s="274"/>
      <c r="V273" s="275"/>
    </row>
    <row r="274" spans="20:22" ht="14.55" x14ac:dyDescent="0.3">
      <c r="T274" s="273"/>
      <c r="U274" s="274"/>
      <c r="V274" s="275"/>
    </row>
    <row r="275" spans="20:22" ht="14.55" x14ac:dyDescent="0.3">
      <c r="T275" s="273"/>
      <c r="U275" s="274"/>
      <c r="V275" s="275"/>
    </row>
    <row r="276" spans="20:22" ht="14.55" x14ac:dyDescent="0.3">
      <c r="T276" s="273"/>
      <c r="U276" s="274"/>
      <c r="V276" s="275"/>
    </row>
    <row r="277" spans="20:22" ht="14.55" x14ac:dyDescent="0.3">
      <c r="T277" s="273"/>
      <c r="U277" s="274"/>
      <c r="V277" s="275"/>
    </row>
    <row r="278" spans="20:22" ht="14.55" x14ac:dyDescent="0.3">
      <c r="T278" s="273"/>
      <c r="U278" s="274"/>
      <c r="V278" s="275"/>
    </row>
    <row r="279" spans="20:22" ht="14.55" x14ac:dyDescent="0.3">
      <c r="T279" s="273"/>
      <c r="U279" s="274"/>
      <c r="V279" s="275"/>
    </row>
    <row r="280" spans="20:22" ht="14.55" x14ac:dyDescent="0.3">
      <c r="T280" s="273"/>
      <c r="U280" s="274"/>
      <c r="V280" s="275"/>
    </row>
    <row r="281" spans="20:22" ht="14.55" x14ac:dyDescent="0.3">
      <c r="T281" s="273"/>
      <c r="U281" s="274"/>
      <c r="V281" s="275"/>
    </row>
    <row r="282" spans="20:22" ht="14.55" x14ac:dyDescent="0.3">
      <c r="T282" s="273"/>
      <c r="U282" s="274"/>
      <c r="V282" s="275"/>
    </row>
    <row r="283" spans="20:22" ht="14.55" x14ac:dyDescent="0.3">
      <c r="T283" s="273"/>
      <c r="U283" s="274"/>
      <c r="V283" s="275"/>
    </row>
    <row r="284" spans="20:22" ht="14.55" x14ac:dyDescent="0.3">
      <c r="T284" s="273"/>
      <c r="U284" s="274"/>
      <c r="V284" s="275"/>
    </row>
    <row r="285" spans="20:22" ht="14.55" x14ac:dyDescent="0.3">
      <c r="T285" s="273"/>
      <c r="U285" s="274"/>
      <c r="V285" s="275"/>
    </row>
    <row r="286" spans="20:22" ht="14.55" x14ac:dyDescent="0.3">
      <c r="T286" s="273"/>
      <c r="U286" s="274"/>
      <c r="V286" s="275"/>
    </row>
    <row r="287" spans="20:22" ht="14.55" x14ac:dyDescent="0.3">
      <c r="T287" s="273"/>
      <c r="U287" s="274"/>
      <c r="V287" s="275"/>
    </row>
    <row r="288" spans="20:22" ht="14.55" x14ac:dyDescent="0.3">
      <c r="T288" s="273"/>
      <c r="U288" s="274"/>
      <c r="V288" s="275"/>
    </row>
    <row r="289" spans="20:22" ht="14.55" x14ac:dyDescent="0.3">
      <c r="T289" s="273"/>
      <c r="U289" s="274"/>
      <c r="V289" s="275"/>
    </row>
    <row r="290" spans="20:22" ht="14.55" x14ac:dyDescent="0.3">
      <c r="T290" s="273"/>
      <c r="U290" s="274"/>
      <c r="V290" s="275"/>
    </row>
    <row r="291" spans="20:22" ht="14.55" x14ac:dyDescent="0.3">
      <c r="T291" s="273"/>
      <c r="U291" s="274"/>
      <c r="V291" s="275"/>
    </row>
    <row r="292" spans="20:22" ht="14.55" x14ac:dyDescent="0.3">
      <c r="T292" s="273"/>
      <c r="U292" s="274"/>
      <c r="V292" s="275"/>
    </row>
    <row r="293" spans="20:22" ht="14.55" x14ac:dyDescent="0.3">
      <c r="T293" s="273"/>
      <c r="U293" s="274"/>
      <c r="V293" s="275"/>
    </row>
    <row r="294" spans="20:22" ht="14.55" x14ac:dyDescent="0.3">
      <c r="T294" s="273"/>
      <c r="U294" s="274"/>
      <c r="V294" s="275"/>
    </row>
    <row r="295" spans="20:22" ht="14.55" x14ac:dyDescent="0.3">
      <c r="T295" s="273"/>
      <c r="U295" s="274"/>
      <c r="V295" s="275"/>
    </row>
    <row r="296" spans="20:22" ht="14.55" x14ac:dyDescent="0.3">
      <c r="T296" s="273"/>
      <c r="U296" s="274"/>
      <c r="V296" s="275"/>
    </row>
    <row r="297" spans="20:22" ht="14.55" x14ac:dyDescent="0.3">
      <c r="T297" s="273"/>
      <c r="U297" s="274"/>
      <c r="V297" s="275"/>
    </row>
    <row r="298" spans="20:22" ht="14.55" x14ac:dyDescent="0.3">
      <c r="T298" s="273"/>
      <c r="U298" s="274"/>
      <c r="V298" s="275"/>
    </row>
    <row r="299" spans="20:22" ht="14.55" x14ac:dyDescent="0.3">
      <c r="T299" s="273"/>
      <c r="U299" s="274"/>
      <c r="V299" s="275"/>
    </row>
    <row r="300" spans="20:22" ht="14.55" x14ac:dyDescent="0.3">
      <c r="T300" s="273"/>
      <c r="U300" s="274"/>
      <c r="V300" s="275"/>
    </row>
    <row r="301" spans="20:22" ht="14.55" x14ac:dyDescent="0.3">
      <c r="T301" s="273"/>
      <c r="U301" s="274"/>
      <c r="V301" s="275"/>
    </row>
    <row r="302" spans="20:22" ht="14.55" x14ac:dyDescent="0.3">
      <c r="T302" s="273"/>
      <c r="U302" s="274"/>
      <c r="V302" s="275"/>
    </row>
    <row r="303" spans="20:22" ht="14.55" x14ac:dyDescent="0.3">
      <c r="T303" s="273"/>
      <c r="U303" s="274"/>
      <c r="V303" s="275"/>
    </row>
    <row r="304" spans="20:22" ht="14.55" x14ac:dyDescent="0.3">
      <c r="T304" s="273"/>
      <c r="U304" s="274"/>
      <c r="V304" s="275"/>
    </row>
    <row r="305" spans="20:22" ht="14.55" x14ac:dyDescent="0.3">
      <c r="T305" s="273"/>
      <c r="U305" s="274"/>
      <c r="V305" s="275"/>
    </row>
    <row r="306" spans="20:22" ht="14.55" x14ac:dyDescent="0.3">
      <c r="T306" s="273"/>
      <c r="U306" s="274"/>
      <c r="V306" s="275"/>
    </row>
    <row r="307" spans="20:22" ht="14.55" x14ac:dyDescent="0.3">
      <c r="T307" s="273"/>
      <c r="U307" s="274"/>
      <c r="V307" s="275"/>
    </row>
    <row r="308" spans="20:22" ht="14.55" x14ac:dyDescent="0.3">
      <c r="T308" s="273"/>
      <c r="U308" s="274"/>
      <c r="V308" s="275"/>
    </row>
    <row r="309" spans="20:22" ht="14.55" x14ac:dyDescent="0.3">
      <c r="T309" s="273"/>
      <c r="U309" s="274"/>
      <c r="V309" s="275"/>
    </row>
    <row r="310" spans="20:22" ht="14.55" x14ac:dyDescent="0.3">
      <c r="T310" s="273"/>
      <c r="U310" s="274"/>
      <c r="V310" s="275"/>
    </row>
    <row r="311" spans="20:22" ht="14.55" x14ac:dyDescent="0.3">
      <c r="T311" s="273"/>
      <c r="U311" s="274"/>
      <c r="V311" s="275"/>
    </row>
    <row r="312" spans="20:22" ht="14.55" x14ac:dyDescent="0.3">
      <c r="T312" s="273"/>
      <c r="U312" s="274"/>
      <c r="V312" s="275"/>
    </row>
    <row r="313" spans="20:22" ht="14.55" x14ac:dyDescent="0.3">
      <c r="T313" s="273"/>
      <c r="U313" s="274"/>
      <c r="V313" s="275"/>
    </row>
    <row r="314" spans="20:22" ht="14.55" x14ac:dyDescent="0.3">
      <c r="T314" s="273"/>
      <c r="U314" s="274"/>
      <c r="V314" s="275"/>
    </row>
    <row r="315" spans="20:22" ht="14.55" x14ac:dyDescent="0.3">
      <c r="T315" s="273"/>
      <c r="U315" s="274"/>
      <c r="V315" s="275"/>
    </row>
    <row r="316" spans="20:22" ht="14.55" x14ac:dyDescent="0.3">
      <c r="T316" s="273"/>
      <c r="U316" s="274"/>
      <c r="V316" s="275"/>
    </row>
    <row r="317" spans="20:22" ht="14.55" x14ac:dyDescent="0.3">
      <c r="T317" s="273"/>
      <c r="U317" s="274"/>
      <c r="V317" s="275"/>
    </row>
    <row r="318" spans="20:22" ht="14.55" x14ac:dyDescent="0.3">
      <c r="T318" s="273"/>
      <c r="U318" s="274"/>
      <c r="V318" s="275"/>
    </row>
    <row r="319" spans="20:22" ht="14.55" x14ac:dyDescent="0.3">
      <c r="T319" s="273"/>
      <c r="U319" s="274"/>
      <c r="V319" s="275"/>
    </row>
    <row r="320" spans="20:22" ht="14.55" x14ac:dyDescent="0.3">
      <c r="T320" s="273"/>
      <c r="U320" s="274"/>
      <c r="V320" s="275"/>
    </row>
    <row r="321" spans="20:22" ht="14.55" x14ac:dyDescent="0.3">
      <c r="T321" s="273"/>
      <c r="U321" s="274"/>
      <c r="V321" s="275"/>
    </row>
    <row r="322" spans="20:22" ht="14.55" x14ac:dyDescent="0.3">
      <c r="T322" s="273"/>
      <c r="U322" s="274"/>
      <c r="V322" s="275"/>
    </row>
    <row r="323" spans="20:22" ht="14.55" x14ac:dyDescent="0.3">
      <c r="T323" s="273"/>
      <c r="U323" s="274"/>
      <c r="V323" s="275"/>
    </row>
    <row r="324" spans="20:22" ht="14.55" x14ac:dyDescent="0.3">
      <c r="T324" s="273"/>
      <c r="U324" s="274"/>
      <c r="V324" s="275"/>
    </row>
    <row r="325" spans="20:22" ht="14.55" x14ac:dyDescent="0.3">
      <c r="T325" s="273"/>
      <c r="U325" s="274"/>
      <c r="V325" s="275"/>
    </row>
    <row r="326" spans="20:22" ht="14.55" x14ac:dyDescent="0.3">
      <c r="T326" s="273"/>
      <c r="U326" s="274"/>
      <c r="V326" s="275"/>
    </row>
    <row r="327" spans="20:22" ht="14.55" x14ac:dyDescent="0.3">
      <c r="T327" s="273"/>
      <c r="U327" s="274"/>
      <c r="V327" s="275"/>
    </row>
    <row r="328" spans="20:22" ht="14.55" x14ac:dyDescent="0.3">
      <c r="T328" s="273"/>
      <c r="U328" s="274"/>
      <c r="V328" s="275"/>
    </row>
    <row r="329" spans="20:22" ht="14.55" x14ac:dyDescent="0.3">
      <c r="T329" s="273"/>
      <c r="U329" s="274"/>
      <c r="V329" s="275"/>
    </row>
    <row r="330" spans="20:22" ht="14.55" x14ac:dyDescent="0.3">
      <c r="T330" s="273"/>
      <c r="U330" s="274"/>
      <c r="V330" s="275"/>
    </row>
    <row r="331" spans="20:22" ht="14.55" x14ac:dyDescent="0.3">
      <c r="T331" s="273"/>
      <c r="U331" s="274"/>
      <c r="V331" s="275"/>
    </row>
    <row r="332" spans="20:22" ht="14.55" x14ac:dyDescent="0.3">
      <c r="T332" s="273"/>
      <c r="U332" s="274"/>
      <c r="V332" s="275"/>
    </row>
    <row r="333" spans="20:22" ht="14.55" x14ac:dyDescent="0.3">
      <c r="T333" s="273"/>
      <c r="U333" s="274"/>
      <c r="V333" s="275"/>
    </row>
    <row r="334" spans="20:22" ht="14.55" x14ac:dyDescent="0.3">
      <c r="T334" s="273"/>
      <c r="U334" s="274"/>
      <c r="V334" s="275"/>
    </row>
    <row r="335" spans="20:22" ht="14.55" x14ac:dyDescent="0.3">
      <c r="T335" s="273"/>
      <c r="U335" s="274"/>
      <c r="V335" s="275"/>
    </row>
    <row r="336" spans="20:22" ht="14.55" x14ac:dyDescent="0.3">
      <c r="T336" s="273"/>
      <c r="U336" s="274"/>
      <c r="V336" s="275"/>
    </row>
    <row r="337" spans="20:22" ht="14.55" x14ac:dyDescent="0.3">
      <c r="T337" s="273"/>
      <c r="U337" s="274"/>
      <c r="V337" s="275"/>
    </row>
    <row r="338" spans="20:22" ht="14.55" x14ac:dyDescent="0.3">
      <c r="T338" s="273"/>
      <c r="U338" s="274"/>
      <c r="V338" s="275"/>
    </row>
    <row r="339" spans="20:22" ht="14.55" x14ac:dyDescent="0.3">
      <c r="T339" s="273"/>
      <c r="U339" s="274"/>
      <c r="V339" s="275"/>
    </row>
    <row r="340" spans="20:22" ht="14.55" x14ac:dyDescent="0.3">
      <c r="T340" s="273"/>
      <c r="U340" s="274"/>
      <c r="V340" s="275"/>
    </row>
    <row r="341" spans="20:22" ht="14.55" x14ac:dyDescent="0.3">
      <c r="T341" s="273"/>
      <c r="U341" s="274"/>
      <c r="V341" s="275"/>
    </row>
    <row r="342" spans="20:22" ht="14.55" x14ac:dyDescent="0.3">
      <c r="T342" s="273"/>
      <c r="U342" s="274"/>
      <c r="V342" s="275"/>
    </row>
    <row r="343" spans="20:22" ht="14.55" x14ac:dyDescent="0.3">
      <c r="T343" s="273"/>
      <c r="U343" s="274"/>
      <c r="V343" s="275"/>
    </row>
    <row r="344" spans="20:22" ht="14.55" x14ac:dyDescent="0.3">
      <c r="T344" s="273"/>
      <c r="U344" s="274"/>
      <c r="V344" s="275"/>
    </row>
    <row r="345" spans="20:22" ht="14.55" x14ac:dyDescent="0.3">
      <c r="T345" s="273"/>
      <c r="U345" s="274"/>
      <c r="V345" s="275"/>
    </row>
    <row r="346" spans="20:22" ht="14.55" x14ac:dyDescent="0.3">
      <c r="T346" s="273"/>
      <c r="U346" s="274"/>
      <c r="V346" s="275"/>
    </row>
    <row r="347" spans="20:22" ht="14.55" x14ac:dyDescent="0.3">
      <c r="T347" s="273"/>
      <c r="U347" s="274"/>
      <c r="V347" s="275"/>
    </row>
    <row r="348" spans="20:22" ht="14.55" x14ac:dyDescent="0.3">
      <c r="T348" s="273"/>
      <c r="U348" s="274"/>
      <c r="V348" s="275"/>
    </row>
    <row r="349" spans="20:22" ht="14.55" x14ac:dyDescent="0.3">
      <c r="T349" s="273"/>
      <c r="U349" s="274"/>
      <c r="V349" s="275"/>
    </row>
    <row r="350" spans="20:22" ht="14.55" x14ac:dyDescent="0.3">
      <c r="T350" s="273"/>
      <c r="U350" s="274"/>
      <c r="V350" s="275"/>
    </row>
    <row r="351" spans="20:22" ht="14.55" x14ac:dyDescent="0.3">
      <c r="T351" s="273"/>
      <c r="U351" s="274"/>
      <c r="V351" s="275"/>
    </row>
    <row r="352" spans="20:22" ht="14.55" x14ac:dyDescent="0.3">
      <c r="T352" s="273"/>
      <c r="U352" s="274"/>
      <c r="V352" s="275"/>
    </row>
    <row r="353" spans="20:22" ht="14.55" x14ac:dyDescent="0.3">
      <c r="T353" s="273"/>
      <c r="U353" s="274"/>
      <c r="V353" s="275"/>
    </row>
    <row r="354" spans="20:22" ht="14.55" x14ac:dyDescent="0.3">
      <c r="T354" s="273"/>
      <c r="U354" s="274"/>
      <c r="V354" s="275"/>
    </row>
    <row r="355" spans="20:22" ht="14.55" x14ac:dyDescent="0.3">
      <c r="T355" s="273"/>
      <c r="U355" s="274"/>
      <c r="V355" s="275"/>
    </row>
    <row r="356" spans="20:22" ht="14.55" x14ac:dyDescent="0.3">
      <c r="T356" s="273"/>
      <c r="U356" s="274"/>
      <c r="V356" s="275"/>
    </row>
    <row r="357" spans="20:22" ht="14.55" x14ac:dyDescent="0.3">
      <c r="T357" s="273"/>
      <c r="U357" s="274"/>
      <c r="V357" s="275"/>
    </row>
    <row r="358" spans="20:22" ht="14.55" x14ac:dyDescent="0.3">
      <c r="T358" s="273"/>
      <c r="U358" s="274"/>
      <c r="V358" s="275"/>
    </row>
    <row r="359" spans="20:22" ht="14.55" x14ac:dyDescent="0.3">
      <c r="T359" s="273"/>
      <c r="U359" s="274"/>
      <c r="V359" s="275"/>
    </row>
    <row r="360" spans="20:22" ht="14.55" x14ac:dyDescent="0.3">
      <c r="T360" s="273"/>
      <c r="U360" s="274"/>
      <c r="V360" s="275"/>
    </row>
    <row r="361" spans="20:22" ht="14.55" x14ac:dyDescent="0.3">
      <c r="T361" s="273"/>
      <c r="U361" s="274"/>
      <c r="V361" s="275"/>
    </row>
    <row r="362" spans="20:22" ht="14.55" x14ac:dyDescent="0.3">
      <c r="T362" s="273"/>
      <c r="U362" s="274"/>
      <c r="V362" s="275"/>
    </row>
    <row r="363" spans="20:22" ht="14.55" x14ac:dyDescent="0.3">
      <c r="T363" s="273"/>
      <c r="U363" s="274"/>
      <c r="V363" s="275"/>
    </row>
    <row r="364" spans="20:22" ht="14.55" x14ac:dyDescent="0.3">
      <c r="T364" s="273"/>
      <c r="U364" s="274"/>
      <c r="V364" s="275"/>
    </row>
    <row r="365" spans="20:22" ht="14.55" x14ac:dyDescent="0.3">
      <c r="T365" s="273"/>
      <c r="U365" s="274"/>
      <c r="V365" s="275"/>
    </row>
    <row r="366" spans="20:22" ht="14.55" x14ac:dyDescent="0.3">
      <c r="T366" s="273"/>
      <c r="U366" s="274"/>
      <c r="V366" s="275"/>
    </row>
    <row r="367" spans="20:22" ht="14.55" x14ac:dyDescent="0.3">
      <c r="T367" s="273"/>
      <c r="U367" s="274"/>
      <c r="V367" s="275"/>
    </row>
    <row r="368" spans="20:22" ht="14.55" x14ac:dyDescent="0.3">
      <c r="T368" s="273"/>
      <c r="U368" s="274"/>
      <c r="V368" s="275"/>
    </row>
    <row r="369" spans="20:22" ht="14.55" x14ac:dyDescent="0.3">
      <c r="T369" s="273"/>
      <c r="U369" s="274"/>
      <c r="V369" s="275"/>
    </row>
    <row r="370" spans="20:22" ht="14.55" x14ac:dyDescent="0.3">
      <c r="T370" s="273"/>
      <c r="U370" s="274"/>
      <c r="V370" s="275"/>
    </row>
    <row r="371" spans="20:22" ht="14.55" x14ac:dyDescent="0.3">
      <c r="T371" s="273"/>
      <c r="U371" s="274"/>
      <c r="V371" s="275"/>
    </row>
    <row r="372" spans="20:22" ht="14.55" x14ac:dyDescent="0.3">
      <c r="T372" s="273"/>
      <c r="U372" s="274"/>
      <c r="V372" s="275"/>
    </row>
    <row r="373" spans="20:22" ht="14.55" x14ac:dyDescent="0.3">
      <c r="T373" s="273"/>
      <c r="U373" s="274"/>
      <c r="V373" s="275"/>
    </row>
    <row r="374" spans="20:22" ht="14.55" x14ac:dyDescent="0.3">
      <c r="T374" s="273"/>
      <c r="U374" s="274"/>
      <c r="V374" s="275"/>
    </row>
    <row r="375" spans="20:22" ht="14.55" x14ac:dyDescent="0.3">
      <c r="T375" s="273"/>
      <c r="U375" s="274"/>
      <c r="V375" s="275"/>
    </row>
    <row r="376" spans="20:22" ht="14.55" x14ac:dyDescent="0.3">
      <c r="T376" s="273"/>
      <c r="U376" s="274"/>
      <c r="V376" s="275"/>
    </row>
    <row r="377" spans="20:22" ht="14.55" x14ac:dyDescent="0.3">
      <c r="T377" s="273"/>
      <c r="U377" s="274"/>
      <c r="V377" s="275"/>
    </row>
    <row r="378" spans="20:22" ht="14.55" x14ac:dyDescent="0.3">
      <c r="T378" s="273"/>
      <c r="U378" s="274"/>
      <c r="V378" s="275"/>
    </row>
    <row r="379" spans="20:22" ht="14.55" x14ac:dyDescent="0.3">
      <c r="T379" s="273"/>
      <c r="U379" s="274"/>
      <c r="V379" s="275"/>
    </row>
    <row r="380" spans="20:22" ht="14.55" x14ac:dyDescent="0.3">
      <c r="T380" s="273"/>
      <c r="U380" s="274"/>
      <c r="V380" s="275"/>
    </row>
    <row r="381" spans="20:22" ht="14.55" x14ac:dyDescent="0.3">
      <c r="T381" s="273"/>
      <c r="U381" s="274"/>
      <c r="V381" s="275"/>
    </row>
    <row r="382" spans="20:22" ht="14.55" x14ac:dyDescent="0.3">
      <c r="T382" s="273"/>
      <c r="U382" s="274"/>
      <c r="V382" s="275"/>
    </row>
    <row r="383" spans="20:22" ht="14.55" x14ac:dyDescent="0.3">
      <c r="T383" s="273"/>
      <c r="U383" s="274"/>
      <c r="V383" s="275"/>
    </row>
    <row r="384" spans="20:22" ht="14.55" x14ac:dyDescent="0.3">
      <c r="T384" s="273"/>
      <c r="U384" s="274"/>
      <c r="V384" s="275"/>
    </row>
    <row r="385" spans="20:22" ht="14.55" x14ac:dyDescent="0.3">
      <c r="T385" s="273"/>
      <c r="U385" s="274"/>
      <c r="V385" s="275"/>
    </row>
    <row r="386" spans="20:22" ht="14.55" x14ac:dyDescent="0.3">
      <c r="T386" s="273"/>
      <c r="U386" s="274"/>
      <c r="V386" s="275"/>
    </row>
    <row r="387" spans="20:22" ht="14.55" x14ac:dyDescent="0.3">
      <c r="T387" s="273"/>
      <c r="U387" s="274"/>
      <c r="V387" s="275"/>
    </row>
    <row r="388" spans="20:22" ht="14.55" x14ac:dyDescent="0.3">
      <c r="T388" s="273"/>
      <c r="U388" s="274"/>
      <c r="V388" s="275"/>
    </row>
    <row r="389" spans="20:22" ht="14.55" x14ac:dyDescent="0.3">
      <c r="T389" s="273"/>
      <c r="U389" s="274"/>
      <c r="V389" s="275"/>
    </row>
    <row r="390" spans="20:22" ht="14.55" x14ac:dyDescent="0.3">
      <c r="T390" s="273"/>
      <c r="U390" s="274"/>
      <c r="V390" s="275"/>
    </row>
    <row r="391" spans="20:22" ht="14.55" x14ac:dyDescent="0.3">
      <c r="T391" s="273"/>
      <c r="U391" s="274"/>
      <c r="V391" s="275"/>
    </row>
    <row r="392" spans="20:22" ht="14.55" x14ac:dyDescent="0.3">
      <c r="T392" s="273"/>
      <c r="U392" s="274"/>
      <c r="V392" s="275"/>
    </row>
    <row r="393" spans="20:22" ht="14.55" x14ac:dyDescent="0.3">
      <c r="T393" s="273"/>
      <c r="U393" s="274"/>
      <c r="V393" s="275"/>
    </row>
    <row r="394" spans="20:22" ht="14.55" x14ac:dyDescent="0.3">
      <c r="T394" s="273"/>
      <c r="U394" s="274"/>
      <c r="V394" s="275"/>
    </row>
    <row r="395" spans="20:22" ht="14.55" x14ac:dyDescent="0.3">
      <c r="T395" s="273"/>
      <c r="U395" s="274"/>
      <c r="V395" s="275"/>
    </row>
    <row r="396" spans="20:22" ht="14.55" x14ac:dyDescent="0.3">
      <c r="T396" s="273"/>
      <c r="U396" s="274"/>
      <c r="V396" s="275"/>
    </row>
    <row r="397" spans="20:22" ht="14.55" x14ac:dyDescent="0.3">
      <c r="T397" s="273"/>
      <c r="U397" s="274"/>
      <c r="V397" s="275"/>
    </row>
    <row r="398" spans="20:22" ht="14.55" x14ac:dyDescent="0.3">
      <c r="T398" s="273"/>
      <c r="U398" s="274"/>
      <c r="V398" s="275"/>
    </row>
    <row r="399" spans="20:22" ht="14.55" x14ac:dyDescent="0.3">
      <c r="T399" s="273"/>
      <c r="U399" s="274"/>
      <c r="V399" s="275"/>
    </row>
    <row r="400" spans="20:22" ht="14.55" x14ac:dyDescent="0.3">
      <c r="T400" s="273"/>
      <c r="U400" s="274"/>
      <c r="V400" s="275"/>
    </row>
    <row r="401" spans="20:22" ht="14.55" x14ac:dyDescent="0.3">
      <c r="T401" s="273"/>
      <c r="U401" s="274"/>
      <c r="V401" s="275"/>
    </row>
    <row r="402" spans="20:22" ht="14.55" x14ac:dyDescent="0.3">
      <c r="T402" s="273"/>
      <c r="U402" s="274"/>
      <c r="V402" s="275"/>
    </row>
    <row r="403" spans="20:22" ht="14.55" x14ac:dyDescent="0.3">
      <c r="T403" s="273"/>
      <c r="U403" s="274"/>
      <c r="V403" s="275"/>
    </row>
    <row r="404" spans="20:22" ht="14.55" x14ac:dyDescent="0.3">
      <c r="T404" s="273"/>
      <c r="U404" s="274"/>
      <c r="V404" s="275"/>
    </row>
    <row r="405" spans="20:22" ht="14.55" x14ac:dyDescent="0.3">
      <c r="T405" s="273"/>
      <c r="U405" s="274"/>
      <c r="V405" s="275"/>
    </row>
    <row r="406" spans="20:22" ht="14.55" x14ac:dyDescent="0.3">
      <c r="T406" s="273"/>
      <c r="U406" s="274"/>
      <c r="V406" s="275"/>
    </row>
    <row r="407" spans="20:22" ht="14.55" x14ac:dyDescent="0.3">
      <c r="T407" s="273"/>
      <c r="U407" s="274"/>
      <c r="V407" s="275"/>
    </row>
    <row r="408" spans="20:22" ht="14.55" x14ac:dyDescent="0.3">
      <c r="T408" s="273"/>
      <c r="U408" s="274"/>
      <c r="V408" s="275"/>
    </row>
    <row r="409" spans="20:22" ht="14.55" x14ac:dyDescent="0.3">
      <c r="T409" s="273"/>
      <c r="U409" s="274"/>
      <c r="V409" s="275"/>
    </row>
    <row r="410" spans="20:22" ht="14.55" x14ac:dyDescent="0.3">
      <c r="T410" s="273"/>
      <c r="U410" s="274"/>
      <c r="V410" s="275"/>
    </row>
    <row r="411" spans="20:22" ht="14.55" x14ac:dyDescent="0.3">
      <c r="T411" s="273"/>
      <c r="U411" s="274"/>
      <c r="V411" s="275"/>
    </row>
    <row r="412" spans="20:22" ht="14.55" x14ac:dyDescent="0.3">
      <c r="T412" s="273"/>
      <c r="U412" s="274"/>
      <c r="V412" s="275"/>
    </row>
    <row r="413" spans="20:22" ht="14.55" x14ac:dyDescent="0.3">
      <c r="T413" s="273"/>
      <c r="U413" s="274"/>
      <c r="V413" s="275"/>
    </row>
    <row r="414" spans="20:22" ht="14.55" x14ac:dyDescent="0.3">
      <c r="T414" s="273"/>
      <c r="U414" s="274"/>
      <c r="V414" s="275"/>
    </row>
    <row r="415" spans="20:22" ht="14.55" x14ac:dyDescent="0.3">
      <c r="T415" s="273"/>
      <c r="U415" s="274"/>
      <c r="V415" s="275"/>
    </row>
    <row r="416" spans="20:22" ht="14.55" x14ac:dyDescent="0.3">
      <c r="T416" s="273"/>
      <c r="U416" s="274"/>
      <c r="V416" s="275"/>
    </row>
    <row r="417" spans="20:22" ht="14.55" x14ac:dyDescent="0.3">
      <c r="T417" s="273"/>
      <c r="U417" s="274"/>
      <c r="V417" s="275"/>
    </row>
    <row r="418" spans="20:22" ht="14.55" x14ac:dyDescent="0.3">
      <c r="T418" s="273"/>
      <c r="U418" s="274"/>
      <c r="V418" s="275"/>
    </row>
    <row r="419" spans="20:22" ht="14.55" x14ac:dyDescent="0.3">
      <c r="T419" s="273"/>
      <c r="U419" s="274"/>
      <c r="V419" s="275"/>
    </row>
    <row r="420" spans="20:22" ht="14.55" x14ac:dyDescent="0.3">
      <c r="T420" s="273"/>
      <c r="U420" s="274"/>
      <c r="V420" s="275"/>
    </row>
    <row r="421" spans="20:22" ht="14.55" x14ac:dyDescent="0.3">
      <c r="T421" s="273"/>
      <c r="U421" s="274"/>
      <c r="V421" s="275"/>
    </row>
    <row r="422" spans="20:22" ht="14.55" x14ac:dyDescent="0.3">
      <c r="T422" s="273"/>
      <c r="U422" s="274"/>
      <c r="V422" s="275"/>
    </row>
    <row r="423" spans="20:22" ht="14.55" x14ac:dyDescent="0.3">
      <c r="T423" s="273"/>
      <c r="U423" s="274"/>
      <c r="V423" s="275"/>
    </row>
    <row r="424" spans="20:22" ht="14.55" x14ac:dyDescent="0.3">
      <c r="T424" s="273"/>
      <c r="U424" s="274"/>
      <c r="V424" s="275"/>
    </row>
    <row r="425" spans="20:22" ht="14.55" x14ac:dyDescent="0.3">
      <c r="T425" s="273"/>
      <c r="U425" s="274"/>
      <c r="V425" s="275"/>
    </row>
    <row r="426" spans="20:22" ht="14.55" x14ac:dyDescent="0.3">
      <c r="T426" s="273"/>
      <c r="U426" s="274"/>
      <c r="V426" s="275"/>
    </row>
    <row r="427" spans="20:22" ht="14.55" x14ac:dyDescent="0.3">
      <c r="T427" s="273"/>
      <c r="U427" s="274"/>
      <c r="V427" s="275"/>
    </row>
    <row r="428" spans="20:22" ht="14.55" x14ac:dyDescent="0.3">
      <c r="T428" s="273"/>
      <c r="U428" s="274"/>
      <c r="V428" s="275"/>
    </row>
    <row r="429" spans="20:22" ht="14.55" x14ac:dyDescent="0.3">
      <c r="T429" s="273"/>
      <c r="U429" s="274"/>
      <c r="V429" s="275"/>
    </row>
    <row r="430" spans="20:22" ht="14.55" x14ac:dyDescent="0.3">
      <c r="T430" s="273"/>
      <c r="U430" s="274"/>
      <c r="V430" s="275"/>
    </row>
    <row r="431" spans="20:22" ht="14.55" x14ac:dyDescent="0.3">
      <c r="T431" s="273"/>
      <c r="U431" s="274"/>
      <c r="V431" s="275"/>
    </row>
    <row r="432" spans="20:22" ht="14.55" x14ac:dyDescent="0.3">
      <c r="T432" s="273"/>
      <c r="U432" s="274"/>
      <c r="V432" s="275"/>
    </row>
    <row r="433" spans="20:22" ht="14.55" x14ac:dyDescent="0.3">
      <c r="T433" s="273"/>
      <c r="U433" s="274"/>
      <c r="V433" s="275"/>
    </row>
    <row r="434" spans="20:22" ht="14.55" x14ac:dyDescent="0.3">
      <c r="T434" s="273"/>
      <c r="U434" s="274"/>
      <c r="V434" s="275"/>
    </row>
    <row r="435" spans="20:22" ht="14.55" x14ac:dyDescent="0.3">
      <c r="T435" s="273"/>
      <c r="U435" s="274"/>
      <c r="V435" s="275"/>
    </row>
    <row r="436" spans="20:22" ht="14.55" x14ac:dyDescent="0.3">
      <c r="T436" s="273"/>
      <c r="U436" s="274"/>
      <c r="V436" s="275"/>
    </row>
    <row r="437" spans="20:22" ht="14.55" x14ac:dyDescent="0.3">
      <c r="T437" s="273"/>
      <c r="U437" s="274"/>
      <c r="V437" s="275"/>
    </row>
    <row r="438" spans="20:22" ht="14.55" x14ac:dyDescent="0.3">
      <c r="T438" s="273"/>
      <c r="U438" s="274"/>
      <c r="V438" s="275"/>
    </row>
    <row r="439" spans="20:22" ht="14.55" x14ac:dyDescent="0.3">
      <c r="T439" s="273"/>
      <c r="U439" s="274"/>
      <c r="V439" s="275"/>
    </row>
    <row r="440" spans="20:22" ht="14.55" x14ac:dyDescent="0.3">
      <c r="T440" s="273"/>
      <c r="U440" s="274"/>
      <c r="V440" s="275"/>
    </row>
    <row r="441" spans="20:22" ht="14.55" x14ac:dyDescent="0.3">
      <c r="T441" s="273"/>
      <c r="U441" s="274"/>
      <c r="V441" s="275"/>
    </row>
    <row r="442" spans="20:22" ht="14.55" x14ac:dyDescent="0.3">
      <c r="T442" s="273"/>
      <c r="U442" s="274"/>
      <c r="V442" s="275"/>
    </row>
    <row r="443" spans="20:22" ht="14.55" x14ac:dyDescent="0.3">
      <c r="T443" s="273"/>
      <c r="U443" s="274"/>
      <c r="V443" s="275"/>
    </row>
    <row r="444" spans="20:22" ht="14.55" x14ac:dyDescent="0.3">
      <c r="T444" s="273"/>
      <c r="U444" s="274"/>
      <c r="V444" s="275"/>
    </row>
    <row r="445" spans="20:22" ht="14.55" x14ac:dyDescent="0.3">
      <c r="T445" s="273"/>
      <c r="U445" s="274"/>
      <c r="V445" s="275"/>
    </row>
    <row r="446" spans="20:22" ht="14.55" x14ac:dyDescent="0.3">
      <c r="T446" s="273"/>
      <c r="U446" s="274"/>
      <c r="V446" s="275"/>
    </row>
    <row r="447" spans="20:22" ht="14.55" x14ac:dyDescent="0.3">
      <c r="T447" s="273"/>
      <c r="U447" s="274"/>
      <c r="V447" s="275"/>
    </row>
    <row r="448" spans="20:22" ht="14.55" x14ac:dyDescent="0.3">
      <c r="T448" s="273"/>
      <c r="U448" s="274"/>
      <c r="V448" s="275"/>
    </row>
    <row r="449" spans="20:22" ht="14.55" x14ac:dyDescent="0.3">
      <c r="T449" s="273"/>
      <c r="U449" s="274"/>
      <c r="V449" s="275"/>
    </row>
    <row r="450" spans="20:22" ht="14.55" x14ac:dyDescent="0.3">
      <c r="T450" s="273"/>
      <c r="U450" s="274"/>
      <c r="V450" s="275"/>
    </row>
    <row r="451" spans="20:22" ht="14.55" x14ac:dyDescent="0.3">
      <c r="T451" s="273"/>
      <c r="U451" s="274"/>
      <c r="V451" s="275"/>
    </row>
    <row r="452" spans="20:22" ht="14.55" x14ac:dyDescent="0.3">
      <c r="T452" s="273"/>
      <c r="U452" s="274"/>
      <c r="V452" s="275"/>
    </row>
    <row r="453" spans="20:22" ht="14.55" x14ac:dyDescent="0.3">
      <c r="T453" s="273"/>
      <c r="U453" s="274"/>
      <c r="V453" s="275"/>
    </row>
    <row r="454" spans="20:22" ht="14.55" x14ac:dyDescent="0.3">
      <c r="T454" s="273"/>
      <c r="U454" s="274"/>
      <c r="V454" s="275"/>
    </row>
    <row r="455" spans="20:22" ht="14.55" x14ac:dyDescent="0.3">
      <c r="T455" s="273"/>
      <c r="U455" s="274"/>
      <c r="V455" s="275"/>
    </row>
    <row r="456" spans="20:22" ht="14.55" x14ac:dyDescent="0.3">
      <c r="T456" s="273"/>
      <c r="U456" s="274"/>
      <c r="V456" s="275"/>
    </row>
    <row r="457" spans="20:22" ht="14.55" x14ac:dyDescent="0.3">
      <c r="T457" s="273"/>
      <c r="U457" s="274"/>
      <c r="V457" s="275"/>
    </row>
    <row r="458" spans="20:22" ht="14.55" x14ac:dyDescent="0.3">
      <c r="T458" s="273"/>
      <c r="U458" s="274"/>
      <c r="V458" s="275"/>
    </row>
    <row r="459" spans="20:22" ht="14.55" x14ac:dyDescent="0.3">
      <c r="T459" s="273"/>
      <c r="U459" s="274"/>
      <c r="V459" s="275"/>
    </row>
    <row r="460" spans="20:22" ht="14.55" x14ac:dyDescent="0.3">
      <c r="T460" s="273"/>
      <c r="U460" s="274"/>
      <c r="V460" s="275"/>
    </row>
    <row r="461" spans="20:22" ht="14.55" x14ac:dyDescent="0.3">
      <c r="T461" s="273"/>
      <c r="U461" s="274"/>
      <c r="V461" s="275"/>
    </row>
    <row r="462" spans="20:22" ht="14.55" x14ac:dyDescent="0.3">
      <c r="T462" s="273"/>
      <c r="U462" s="274"/>
      <c r="V462" s="275"/>
    </row>
    <row r="463" spans="20:22" ht="14.55" x14ac:dyDescent="0.3">
      <c r="T463" s="273"/>
      <c r="U463" s="274"/>
      <c r="V463" s="275"/>
    </row>
    <row r="464" spans="20:22" ht="14.55" x14ac:dyDescent="0.3">
      <c r="T464" s="273"/>
      <c r="U464" s="274"/>
      <c r="V464" s="275"/>
    </row>
    <row r="465" spans="20:22" ht="14.55" x14ac:dyDescent="0.3">
      <c r="T465" s="273"/>
      <c r="U465" s="274"/>
      <c r="V465" s="275"/>
    </row>
    <row r="466" spans="20:22" ht="14.55" x14ac:dyDescent="0.3">
      <c r="T466" s="273"/>
      <c r="U466" s="274"/>
      <c r="V466" s="275"/>
    </row>
    <row r="467" spans="20:22" ht="14.55" x14ac:dyDescent="0.3">
      <c r="T467" s="273"/>
      <c r="U467" s="274"/>
      <c r="V467" s="275"/>
    </row>
    <row r="468" spans="20:22" ht="14.55" x14ac:dyDescent="0.3">
      <c r="T468" s="273"/>
      <c r="U468" s="274"/>
      <c r="V468" s="275"/>
    </row>
    <row r="469" spans="20:22" ht="14.55" x14ac:dyDescent="0.3">
      <c r="T469" s="273"/>
      <c r="U469" s="274"/>
      <c r="V469" s="275"/>
    </row>
    <row r="470" spans="20:22" ht="14.55" x14ac:dyDescent="0.3">
      <c r="T470" s="273"/>
      <c r="U470" s="274"/>
      <c r="V470" s="275"/>
    </row>
    <row r="471" spans="20:22" ht="14.55" x14ac:dyDescent="0.3">
      <c r="T471" s="273"/>
      <c r="U471" s="274"/>
      <c r="V471" s="275"/>
    </row>
    <row r="472" spans="20:22" ht="14.55" x14ac:dyDescent="0.3">
      <c r="T472" s="273"/>
      <c r="U472" s="274"/>
      <c r="V472" s="275"/>
    </row>
    <row r="473" spans="20:22" ht="14.55" x14ac:dyDescent="0.3">
      <c r="T473" s="273"/>
      <c r="U473" s="274"/>
      <c r="V473" s="275"/>
    </row>
    <row r="474" spans="20:22" ht="14.55" x14ac:dyDescent="0.3">
      <c r="T474" s="273"/>
      <c r="U474" s="274"/>
      <c r="V474" s="275"/>
    </row>
    <row r="475" spans="20:22" ht="14.55" x14ac:dyDescent="0.3">
      <c r="T475" s="273"/>
      <c r="U475" s="274"/>
      <c r="V475" s="275"/>
    </row>
    <row r="476" spans="20:22" ht="14.55" x14ac:dyDescent="0.3">
      <c r="T476" s="273"/>
      <c r="U476" s="274"/>
      <c r="V476" s="275"/>
    </row>
    <row r="477" spans="20:22" ht="14.55" x14ac:dyDescent="0.3">
      <c r="T477" s="273"/>
      <c r="U477" s="274"/>
      <c r="V477" s="275"/>
    </row>
    <row r="478" spans="20:22" ht="14.55" x14ac:dyDescent="0.3">
      <c r="T478" s="273"/>
      <c r="U478" s="274"/>
      <c r="V478" s="275"/>
    </row>
    <row r="479" spans="20:22" ht="14.55" x14ac:dyDescent="0.3">
      <c r="T479" s="273"/>
      <c r="U479" s="274"/>
      <c r="V479" s="275"/>
    </row>
    <row r="480" spans="20:22" ht="14.55" x14ac:dyDescent="0.3">
      <c r="T480" s="273"/>
      <c r="U480" s="274"/>
      <c r="V480" s="275"/>
    </row>
    <row r="481" spans="20:22" ht="14.55" x14ac:dyDescent="0.3">
      <c r="T481" s="273"/>
      <c r="U481" s="274"/>
      <c r="V481" s="275"/>
    </row>
    <row r="482" spans="20:22" ht="14.55" x14ac:dyDescent="0.3">
      <c r="T482" s="273"/>
      <c r="U482" s="274"/>
      <c r="V482" s="275"/>
    </row>
    <row r="483" spans="20:22" ht="14.55" x14ac:dyDescent="0.3">
      <c r="T483" s="273"/>
      <c r="U483" s="274"/>
      <c r="V483" s="275"/>
    </row>
    <row r="484" spans="20:22" ht="14.55" x14ac:dyDescent="0.3">
      <c r="T484" s="273"/>
      <c r="U484" s="274"/>
      <c r="V484" s="275"/>
    </row>
    <row r="485" spans="20:22" ht="14.55" x14ac:dyDescent="0.3">
      <c r="T485" s="273"/>
      <c r="U485" s="274"/>
      <c r="V485" s="275"/>
    </row>
    <row r="486" spans="20:22" ht="14.55" x14ac:dyDescent="0.3">
      <c r="T486" s="273"/>
      <c r="U486" s="274"/>
      <c r="V486" s="275"/>
    </row>
    <row r="487" spans="20:22" ht="14.55" x14ac:dyDescent="0.3">
      <c r="T487" s="273"/>
      <c r="U487" s="274"/>
      <c r="V487" s="275"/>
    </row>
    <row r="488" spans="20:22" ht="14.55" x14ac:dyDescent="0.3">
      <c r="T488" s="273"/>
      <c r="U488" s="274"/>
      <c r="V488" s="275"/>
    </row>
    <row r="489" spans="20:22" ht="14.55" x14ac:dyDescent="0.3">
      <c r="T489" s="273"/>
      <c r="U489" s="274"/>
      <c r="V489" s="275"/>
    </row>
    <row r="490" spans="20:22" ht="14.55" x14ac:dyDescent="0.3">
      <c r="T490" s="273"/>
      <c r="U490" s="274"/>
      <c r="V490" s="275"/>
    </row>
    <row r="491" spans="20:22" ht="14.55" x14ac:dyDescent="0.3">
      <c r="T491" s="273"/>
      <c r="U491" s="274"/>
      <c r="V491" s="275"/>
    </row>
    <row r="492" spans="20:22" ht="14.55" x14ac:dyDescent="0.3">
      <c r="T492" s="273"/>
      <c r="U492" s="274"/>
      <c r="V492" s="275"/>
    </row>
    <row r="493" spans="20:22" ht="14.55" x14ac:dyDescent="0.3">
      <c r="T493" s="273"/>
      <c r="U493" s="274"/>
      <c r="V493" s="275"/>
    </row>
    <row r="494" spans="20:22" ht="14.55" x14ac:dyDescent="0.3">
      <c r="T494" s="273"/>
      <c r="U494" s="274"/>
      <c r="V494" s="275"/>
    </row>
    <row r="495" spans="20:22" ht="14.55" x14ac:dyDescent="0.3">
      <c r="T495" s="273"/>
      <c r="U495" s="274"/>
      <c r="V495" s="275"/>
    </row>
    <row r="496" spans="20:22" ht="14.55" x14ac:dyDescent="0.3">
      <c r="T496" s="273"/>
      <c r="U496" s="274"/>
      <c r="V496" s="275"/>
    </row>
    <row r="497" spans="20:22" ht="14.55" x14ac:dyDescent="0.3">
      <c r="T497" s="273"/>
      <c r="U497" s="274"/>
      <c r="V497" s="275"/>
    </row>
    <row r="498" spans="20:22" ht="14.55" x14ac:dyDescent="0.3">
      <c r="T498" s="273"/>
      <c r="U498" s="274"/>
      <c r="V498" s="275"/>
    </row>
    <row r="499" spans="20:22" ht="14.55" x14ac:dyDescent="0.3">
      <c r="T499" s="273"/>
      <c r="U499" s="274"/>
      <c r="V499" s="275"/>
    </row>
    <row r="500" spans="20:22" ht="14.55" x14ac:dyDescent="0.3">
      <c r="T500" s="273"/>
      <c r="U500" s="274"/>
      <c r="V500" s="275"/>
    </row>
    <row r="501" spans="20:22" ht="14.55" x14ac:dyDescent="0.3">
      <c r="T501" s="273"/>
      <c r="U501" s="274"/>
      <c r="V501" s="275"/>
    </row>
    <row r="502" spans="20:22" ht="14.55" x14ac:dyDescent="0.3">
      <c r="T502" s="273"/>
      <c r="U502" s="274"/>
      <c r="V502" s="275"/>
    </row>
    <row r="503" spans="20:22" ht="14.55" x14ac:dyDescent="0.3">
      <c r="T503" s="273"/>
      <c r="U503" s="274"/>
      <c r="V503" s="275"/>
    </row>
    <row r="504" spans="20:22" ht="14.55" x14ac:dyDescent="0.3">
      <c r="T504" s="273"/>
      <c r="U504" s="274"/>
      <c r="V504" s="275"/>
    </row>
    <row r="505" spans="20:22" ht="14.55" x14ac:dyDescent="0.3">
      <c r="T505" s="273"/>
      <c r="U505" s="274"/>
      <c r="V505" s="275"/>
    </row>
    <row r="506" spans="20:22" ht="14.55" x14ac:dyDescent="0.3">
      <c r="T506" s="273"/>
      <c r="U506" s="274"/>
      <c r="V506" s="275"/>
    </row>
    <row r="507" spans="20:22" ht="14.55" x14ac:dyDescent="0.3">
      <c r="T507" s="273"/>
      <c r="U507" s="274"/>
      <c r="V507" s="275"/>
    </row>
    <row r="508" spans="20:22" ht="14.55" x14ac:dyDescent="0.3">
      <c r="T508" s="273"/>
      <c r="U508" s="274"/>
      <c r="V508" s="275"/>
    </row>
    <row r="509" spans="20:22" ht="14.55" x14ac:dyDescent="0.3">
      <c r="T509" s="273"/>
      <c r="U509" s="274"/>
      <c r="V509" s="275"/>
    </row>
    <row r="510" spans="20:22" ht="14.55" x14ac:dyDescent="0.3">
      <c r="T510" s="273"/>
      <c r="U510" s="274"/>
      <c r="V510" s="275"/>
    </row>
    <row r="511" spans="20:22" ht="14.55" x14ac:dyDescent="0.3">
      <c r="T511" s="273"/>
      <c r="U511" s="274"/>
      <c r="V511" s="275"/>
    </row>
    <row r="512" spans="20:22" ht="14.55" x14ac:dyDescent="0.3">
      <c r="T512" s="273"/>
      <c r="U512" s="274"/>
      <c r="V512" s="275"/>
    </row>
    <row r="513" spans="20:22" ht="14.55" x14ac:dyDescent="0.3">
      <c r="T513" s="273"/>
      <c r="U513" s="274"/>
      <c r="V513" s="275"/>
    </row>
    <row r="514" spans="20:22" ht="14.55" x14ac:dyDescent="0.3">
      <c r="T514" s="273"/>
      <c r="U514" s="274"/>
      <c r="V514" s="275"/>
    </row>
    <row r="515" spans="20:22" ht="14.55" x14ac:dyDescent="0.3">
      <c r="T515" s="273"/>
      <c r="U515" s="274"/>
      <c r="V515" s="275"/>
    </row>
    <row r="516" spans="20:22" ht="14.55" x14ac:dyDescent="0.3">
      <c r="T516" s="273"/>
      <c r="U516" s="274"/>
      <c r="V516" s="275"/>
    </row>
    <row r="517" spans="20:22" ht="14.55" x14ac:dyDescent="0.3">
      <c r="T517" s="273"/>
      <c r="U517" s="274"/>
      <c r="V517" s="275"/>
    </row>
    <row r="518" spans="20:22" ht="14.55" x14ac:dyDescent="0.3">
      <c r="T518" s="273"/>
      <c r="U518" s="274"/>
      <c r="V518" s="275"/>
    </row>
    <row r="519" spans="20:22" ht="14.55" x14ac:dyDescent="0.3">
      <c r="T519" s="273"/>
      <c r="U519" s="274"/>
      <c r="V519" s="275"/>
    </row>
    <row r="520" spans="20:22" ht="14.55" x14ac:dyDescent="0.3">
      <c r="T520" s="273"/>
      <c r="U520" s="274"/>
      <c r="V520" s="275"/>
    </row>
    <row r="521" spans="20:22" ht="14.55" x14ac:dyDescent="0.3">
      <c r="T521" s="273"/>
      <c r="U521" s="274"/>
      <c r="V521" s="275"/>
    </row>
    <row r="522" spans="20:22" ht="14.55" x14ac:dyDescent="0.3">
      <c r="T522" s="273"/>
      <c r="U522" s="274"/>
      <c r="V522" s="275"/>
    </row>
    <row r="523" spans="20:22" ht="14.55" x14ac:dyDescent="0.3">
      <c r="T523" s="273"/>
      <c r="U523" s="274"/>
      <c r="V523" s="275"/>
    </row>
    <row r="524" spans="20:22" ht="14.55" x14ac:dyDescent="0.3">
      <c r="T524" s="273"/>
      <c r="U524" s="274"/>
      <c r="V524" s="275"/>
    </row>
    <row r="525" spans="20:22" ht="14.55" x14ac:dyDescent="0.3">
      <c r="T525" s="273"/>
      <c r="U525" s="274"/>
      <c r="V525" s="275"/>
    </row>
    <row r="526" spans="20:22" ht="14.55" x14ac:dyDescent="0.3">
      <c r="T526" s="273"/>
      <c r="U526" s="274"/>
      <c r="V526" s="275"/>
    </row>
    <row r="527" spans="20:22" ht="14.55" x14ac:dyDescent="0.3">
      <c r="T527" s="273"/>
      <c r="U527" s="274"/>
      <c r="V527" s="275"/>
    </row>
    <row r="528" spans="20:22" ht="14.55" x14ac:dyDescent="0.3">
      <c r="T528" s="273"/>
      <c r="U528" s="274"/>
      <c r="V528" s="275"/>
    </row>
    <row r="529" spans="20:22" ht="14.55" x14ac:dyDescent="0.3">
      <c r="T529" s="273"/>
      <c r="U529" s="274"/>
      <c r="V529" s="275"/>
    </row>
    <row r="530" spans="20:22" ht="14.55" x14ac:dyDescent="0.3">
      <c r="T530" s="273"/>
      <c r="U530" s="274"/>
      <c r="V530" s="275"/>
    </row>
    <row r="531" spans="20:22" ht="14.55" x14ac:dyDescent="0.3">
      <c r="T531" s="273"/>
      <c r="U531" s="274"/>
      <c r="V531" s="275"/>
    </row>
    <row r="532" spans="20:22" ht="14.55" x14ac:dyDescent="0.3">
      <c r="T532" s="273"/>
      <c r="U532" s="274"/>
      <c r="V532" s="275"/>
    </row>
    <row r="533" spans="20:22" ht="14.55" x14ac:dyDescent="0.3">
      <c r="T533" s="273"/>
      <c r="U533" s="274"/>
      <c r="V533" s="275"/>
    </row>
    <row r="534" spans="20:22" ht="14.55" x14ac:dyDescent="0.3">
      <c r="T534" s="273"/>
      <c r="U534" s="274"/>
      <c r="V534" s="275"/>
    </row>
    <row r="535" spans="20:22" ht="14.55" x14ac:dyDescent="0.3">
      <c r="T535" s="273"/>
      <c r="U535" s="274"/>
      <c r="V535" s="275"/>
    </row>
    <row r="536" spans="20:22" ht="14.55" x14ac:dyDescent="0.3">
      <c r="T536" s="273"/>
      <c r="U536" s="274"/>
      <c r="V536" s="275"/>
    </row>
    <row r="537" spans="20:22" ht="14.55" x14ac:dyDescent="0.3">
      <c r="T537" s="273"/>
      <c r="U537" s="274"/>
      <c r="V537" s="275"/>
    </row>
    <row r="538" spans="20:22" ht="14.55" x14ac:dyDescent="0.3">
      <c r="T538" s="273"/>
      <c r="U538" s="274"/>
      <c r="V538" s="275"/>
    </row>
    <row r="539" spans="20:22" ht="14.55" x14ac:dyDescent="0.3">
      <c r="T539" s="273"/>
      <c r="U539" s="274"/>
      <c r="V539" s="275"/>
    </row>
    <row r="540" spans="20:22" ht="14.55" x14ac:dyDescent="0.3">
      <c r="T540" s="273"/>
      <c r="U540" s="274"/>
      <c r="V540" s="275"/>
    </row>
    <row r="541" spans="20:22" ht="14.55" x14ac:dyDescent="0.3">
      <c r="T541" s="273"/>
      <c r="U541" s="274"/>
      <c r="V541" s="275"/>
    </row>
    <row r="542" spans="20:22" ht="14.55" x14ac:dyDescent="0.3">
      <c r="T542" s="273"/>
      <c r="U542" s="274"/>
      <c r="V542" s="275"/>
    </row>
    <row r="543" spans="20:22" ht="14.55" x14ac:dyDescent="0.3">
      <c r="T543" s="273"/>
      <c r="U543" s="274"/>
      <c r="V543" s="275"/>
    </row>
    <row r="544" spans="20:22" ht="14.55" x14ac:dyDescent="0.3">
      <c r="T544" s="273"/>
      <c r="U544" s="274"/>
      <c r="V544" s="275"/>
    </row>
    <row r="545" spans="20:22" ht="14.55" x14ac:dyDescent="0.3">
      <c r="T545" s="273"/>
      <c r="U545" s="274"/>
      <c r="V545" s="275"/>
    </row>
    <row r="546" spans="20:22" ht="14.55" x14ac:dyDescent="0.3">
      <c r="T546" s="273"/>
      <c r="U546" s="274"/>
      <c r="V546" s="275"/>
    </row>
    <row r="547" spans="20:22" ht="14.55" x14ac:dyDescent="0.3">
      <c r="T547" s="273"/>
      <c r="U547" s="274"/>
      <c r="V547" s="275"/>
    </row>
    <row r="548" spans="20:22" ht="14.55" x14ac:dyDescent="0.3">
      <c r="T548" s="273"/>
      <c r="U548" s="274"/>
      <c r="V548" s="275"/>
    </row>
    <row r="549" spans="20:22" ht="14.55" x14ac:dyDescent="0.3">
      <c r="T549" s="273"/>
      <c r="U549" s="274"/>
      <c r="V549" s="275"/>
    </row>
    <row r="550" spans="20:22" ht="14.55" x14ac:dyDescent="0.3">
      <c r="T550" s="273"/>
      <c r="U550" s="274"/>
      <c r="V550" s="275"/>
    </row>
    <row r="551" spans="20:22" ht="14.55" x14ac:dyDescent="0.3">
      <c r="T551" s="273"/>
      <c r="U551" s="274"/>
      <c r="V551" s="275"/>
    </row>
    <row r="552" spans="20:22" ht="14.55" x14ac:dyDescent="0.3">
      <c r="T552" s="273"/>
      <c r="U552" s="274"/>
      <c r="V552" s="275"/>
    </row>
    <row r="553" spans="20:22" ht="14.55" x14ac:dyDescent="0.3">
      <c r="T553" s="273"/>
      <c r="U553" s="274"/>
      <c r="V553" s="275"/>
    </row>
    <row r="554" spans="20:22" ht="14.55" x14ac:dyDescent="0.3">
      <c r="T554" s="273"/>
      <c r="U554" s="274"/>
      <c r="V554" s="275"/>
    </row>
    <row r="555" spans="20:22" ht="14.55" x14ac:dyDescent="0.3">
      <c r="T555" s="273"/>
      <c r="U555" s="274"/>
      <c r="V555" s="275"/>
    </row>
    <row r="556" spans="20:22" ht="14.55" x14ac:dyDescent="0.3">
      <c r="T556" s="273"/>
      <c r="U556" s="274"/>
      <c r="V556" s="275"/>
    </row>
    <row r="557" spans="20:22" ht="14.55" x14ac:dyDescent="0.3">
      <c r="T557" s="273"/>
      <c r="U557" s="274"/>
      <c r="V557" s="275"/>
    </row>
    <row r="558" spans="20:22" ht="14.55" x14ac:dyDescent="0.3">
      <c r="T558" s="273"/>
      <c r="U558" s="274"/>
      <c r="V558" s="275"/>
    </row>
    <row r="559" spans="20:22" ht="14.55" x14ac:dyDescent="0.3">
      <c r="T559" s="273"/>
      <c r="U559" s="274"/>
      <c r="V559" s="275"/>
    </row>
    <row r="560" spans="20:22" ht="14.55" x14ac:dyDescent="0.3">
      <c r="T560" s="273"/>
      <c r="U560" s="274"/>
      <c r="V560" s="275"/>
    </row>
    <row r="561" spans="20:22" ht="14.55" x14ac:dyDescent="0.3">
      <c r="T561" s="273"/>
      <c r="U561" s="274"/>
      <c r="V561" s="275"/>
    </row>
    <row r="562" spans="20:22" ht="14.55" x14ac:dyDescent="0.3">
      <c r="T562" s="273"/>
      <c r="U562" s="274"/>
      <c r="V562" s="275"/>
    </row>
    <row r="563" spans="20:22" ht="14.55" x14ac:dyDescent="0.3">
      <c r="T563" s="273"/>
      <c r="U563" s="274"/>
      <c r="V563" s="275"/>
    </row>
    <row r="564" spans="20:22" ht="14.55" x14ac:dyDescent="0.3">
      <c r="T564" s="273"/>
      <c r="U564" s="274"/>
      <c r="V564" s="275"/>
    </row>
    <row r="565" spans="20:22" ht="14.55" x14ac:dyDescent="0.3">
      <c r="T565" s="273"/>
      <c r="U565" s="274"/>
      <c r="V565" s="275"/>
    </row>
    <row r="566" spans="20:22" ht="14.55" x14ac:dyDescent="0.3">
      <c r="T566" s="273"/>
      <c r="U566" s="274"/>
      <c r="V566" s="275"/>
    </row>
    <row r="567" spans="20:22" ht="14.55" x14ac:dyDescent="0.3">
      <c r="T567" s="273"/>
      <c r="U567" s="274"/>
      <c r="V567" s="275"/>
    </row>
    <row r="568" spans="20:22" ht="14.55" x14ac:dyDescent="0.3">
      <c r="T568" s="273"/>
      <c r="U568" s="274"/>
      <c r="V568" s="275"/>
    </row>
    <row r="569" spans="20:22" ht="14.55" x14ac:dyDescent="0.3">
      <c r="T569" s="273"/>
      <c r="U569" s="274"/>
      <c r="V569" s="275"/>
    </row>
    <row r="570" spans="20:22" ht="14.55" x14ac:dyDescent="0.3">
      <c r="T570" s="273"/>
      <c r="U570" s="274"/>
      <c r="V570" s="275"/>
    </row>
    <row r="571" spans="20:22" ht="14.55" x14ac:dyDescent="0.3">
      <c r="T571" s="273"/>
      <c r="U571" s="274"/>
      <c r="V571" s="275"/>
    </row>
    <row r="572" spans="20:22" ht="14.55" x14ac:dyDescent="0.3">
      <c r="T572" s="273"/>
      <c r="U572" s="274"/>
      <c r="V572" s="275"/>
    </row>
    <row r="573" spans="20:22" ht="14.55" x14ac:dyDescent="0.3">
      <c r="T573" s="273"/>
      <c r="U573" s="274"/>
      <c r="V573" s="275"/>
    </row>
    <row r="574" spans="20:22" ht="14.55" x14ac:dyDescent="0.3">
      <c r="T574" s="273"/>
      <c r="U574" s="274"/>
      <c r="V574" s="275"/>
    </row>
    <row r="575" spans="20:22" ht="14.55" x14ac:dyDescent="0.3">
      <c r="T575" s="273"/>
      <c r="U575" s="274"/>
      <c r="V575" s="275"/>
    </row>
    <row r="576" spans="20:22" ht="14.55" x14ac:dyDescent="0.3">
      <c r="T576" s="273"/>
      <c r="U576" s="274"/>
      <c r="V576" s="275"/>
    </row>
    <row r="577" spans="20:22" ht="14.55" x14ac:dyDescent="0.3">
      <c r="T577" s="273"/>
      <c r="U577" s="274"/>
      <c r="V577" s="275"/>
    </row>
    <row r="578" spans="20:22" ht="14.55" x14ac:dyDescent="0.3">
      <c r="T578" s="273"/>
      <c r="U578" s="274"/>
      <c r="V578" s="275"/>
    </row>
    <row r="579" spans="20:22" ht="14.55" x14ac:dyDescent="0.3">
      <c r="T579" s="273"/>
      <c r="U579" s="274"/>
      <c r="V579" s="275"/>
    </row>
    <row r="580" spans="20:22" ht="14.55" x14ac:dyDescent="0.3">
      <c r="T580" s="273"/>
      <c r="U580" s="274"/>
      <c r="V580" s="275"/>
    </row>
    <row r="581" spans="20:22" ht="14.55" x14ac:dyDescent="0.3">
      <c r="T581" s="273"/>
      <c r="U581" s="274"/>
      <c r="V581" s="275"/>
    </row>
    <row r="582" spans="20:22" ht="14.55" x14ac:dyDescent="0.3">
      <c r="T582" s="273"/>
      <c r="U582" s="274"/>
      <c r="V582" s="275"/>
    </row>
    <row r="583" spans="20:22" ht="14.55" x14ac:dyDescent="0.3">
      <c r="T583" s="273"/>
      <c r="U583" s="274"/>
      <c r="V583" s="275"/>
    </row>
    <row r="584" spans="20:22" ht="14.55" x14ac:dyDescent="0.3">
      <c r="T584" s="273"/>
      <c r="U584" s="274"/>
      <c r="V584" s="275"/>
    </row>
    <row r="585" spans="20:22" ht="14.55" x14ac:dyDescent="0.3">
      <c r="T585" s="273"/>
      <c r="U585" s="274"/>
      <c r="V585" s="275"/>
    </row>
    <row r="586" spans="20:22" ht="14.55" x14ac:dyDescent="0.3">
      <c r="T586" s="273"/>
      <c r="U586" s="274"/>
      <c r="V586" s="275"/>
    </row>
    <row r="587" spans="20:22" ht="14.55" x14ac:dyDescent="0.3">
      <c r="T587" s="273"/>
      <c r="U587" s="274"/>
      <c r="V587" s="275"/>
    </row>
    <row r="588" spans="20:22" ht="14.55" x14ac:dyDescent="0.3">
      <c r="T588" s="273"/>
      <c r="U588" s="274"/>
      <c r="V588" s="275"/>
    </row>
    <row r="589" spans="20:22" ht="14.55" x14ac:dyDescent="0.3">
      <c r="T589" s="273"/>
      <c r="U589" s="274"/>
      <c r="V589" s="275"/>
    </row>
    <row r="590" spans="20:22" ht="14.55" x14ac:dyDescent="0.3">
      <c r="T590" s="273"/>
      <c r="U590" s="274"/>
      <c r="V590" s="275"/>
    </row>
    <row r="591" spans="20:22" ht="14.55" x14ac:dyDescent="0.3">
      <c r="T591" s="273"/>
      <c r="U591" s="274"/>
      <c r="V591" s="275"/>
    </row>
    <row r="592" spans="20:22" ht="14.55" x14ac:dyDescent="0.3">
      <c r="T592" s="273"/>
      <c r="U592" s="274"/>
      <c r="V592" s="275"/>
    </row>
    <row r="593" spans="20:22" ht="14.55" x14ac:dyDescent="0.3">
      <c r="T593" s="273"/>
      <c r="U593" s="274"/>
      <c r="V593" s="275"/>
    </row>
    <row r="594" spans="20:22" ht="14.55" x14ac:dyDescent="0.3">
      <c r="T594" s="273"/>
      <c r="U594" s="274"/>
      <c r="V594" s="275"/>
    </row>
    <row r="595" spans="20:22" ht="14.55" x14ac:dyDescent="0.3">
      <c r="T595" s="273"/>
      <c r="U595" s="274"/>
      <c r="V595" s="275"/>
    </row>
    <row r="596" spans="20:22" ht="14.55" x14ac:dyDescent="0.3">
      <c r="T596" s="273"/>
      <c r="U596" s="274"/>
      <c r="V596" s="275"/>
    </row>
    <row r="597" spans="20:22" ht="14.55" x14ac:dyDescent="0.3">
      <c r="T597" s="273"/>
      <c r="U597" s="274"/>
      <c r="V597" s="275"/>
    </row>
    <row r="598" spans="20:22" ht="14.55" x14ac:dyDescent="0.3">
      <c r="T598" s="273"/>
      <c r="U598" s="274"/>
      <c r="V598" s="275"/>
    </row>
    <row r="599" spans="20:22" ht="14.55" x14ac:dyDescent="0.3">
      <c r="T599" s="273"/>
      <c r="U599" s="274"/>
      <c r="V599" s="275"/>
    </row>
    <row r="600" spans="20:22" ht="14.55" x14ac:dyDescent="0.3">
      <c r="T600" s="273"/>
      <c r="U600" s="274"/>
      <c r="V600" s="275"/>
    </row>
    <row r="601" spans="20:22" ht="14.55" x14ac:dyDescent="0.3">
      <c r="T601" s="273"/>
      <c r="U601" s="274"/>
      <c r="V601" s="275"/>
    </row>
    <row r="602" spans="20:22" ht="14.55" x14ac:dyDescent="0.3">
      <c r="T602" s="273"/>
      <c r="U602" s="274"/>
      <c r="V602" s="275"/>
    </row>
    <row r="603" spans="20:22" ht="14.55" x14ac:dyDescent="0.3">
      <c r="T603" s="273"/>
      <c r="U603" s="274"/>
      <c r="V603" s="275"/>
    </row>
    <row r="604" spans="20:22" ht="14.55" x14ac:dyDescent="0.3">
      <c r="T604" s="273"/>
      <c r="U604" s="274"/>
      <c r="V604" s="275"/>
    </row>
    <row r="605" spans="20:22" ht="14.55" x14ac:dyDescent="0.3">
      <c r="T605" s="273"/>
      <c r="U605" s="274"/>
      <c r="V605" s="275"/>
    </row>
    <row r="606" spans="20:22" ht="14.55" x14ac:dyDescent="0.3">
      <c r="T606" s="273"/>
      <c r="U606" s="274"/>
      <c r="V606" s="275"/>
    </row>
  </sheetData>
  <sheetProtection selectLockedCells="1"/>
  <mergeCells count="136">
    <mergeCell ref="D68:D74"/>
    <mergeCell ref="D76:D82"/>
    <mergeCell ref="I58:J58"/>
    <mergeCell ref="K58:L58"/>
    <mergeCell ref="B108:E108"/>
    <mergeCell ref="B58:E58"/>
    <mergeCell ref="G58:H58"/>
    <mergeCell ref="H113:I113"/>
    <mergeCell ref="J112:K112"/>
    <mergeCell ref="L108:M108"/>
    <mergeCell ref="I107:J107"/>
    <mergeCell ref="B87:E87"/>
    <mergeCell ref="B99:E99"/>
    <mergeCell ref="C101:C105"/>
    <mergeCell ref="G107:H107"/>
    <mergeCell ref="B88:E88"/>
    <mergeCell ref="B89:E89"/>
    <mergeCell ref="B90:E90"/>
    <mergeCell ref="B96:E96"/>
    <mergeCell ref="B97:E97"/>
    <mergeCell ref="B98:E98"/>
    <mergeCell ref="B62:E62"/>
    <mergeCell ref="B63:E63"/>
    <mergeCell ref="E68:E69"/>
    <mergeCell ref="B129:Q129"/>
    <mergeCell ref="B141:Q141"/>
    <mergeCell ref="B154:Q154"/>
    <mergeCell ref="N112:O112"/>
    <mergeCell ref="N113:O113"/>
    <mergeCell ref="N114:O114"/>
    <mergeCell ref="N115:O115"/>
    <mergeCell ref="N116:O116"/>
    <mergeCell ref="N117:O117"/>
    <mergeCell ref="N118:O118"/>
    <mergeCell ref="N119:O119"/>
    <mergeCell ref="N120:O120"/>
    <mergeCell ref="N121:O121"/>
    <mergeCell ref="N122:O122"/>
    <mergeCell ref="N123:O123"/>
    <mergeCell ref="N124:O124"/>
    <mergeCell ref="N125:O125"/>
    <mergeCell ref="H127:I127"/>
    <mergeCell ref="H126:I126"/>
    <mergeCell ref="H120:I120"/>
    <mergeCell ref="H112:I112"/>
    <mergeCell ref="J113:K113"/>
    <mergeCell ref="J126:K126"/>
    <mergeCell ref="H122:I122"/>
    <mergeCell ref="P7:Q7"/>
    <mergeCell ref="D52:D56"/>
    <mergeCell ref="G52:G56"/>
    <mergeCell ref="B4:B7"/>
    <mergeCell ref="D7:E7"/>
    <mergeCell ref="G7:H7"/>
    <mergeCell ref="J7:K7"/>
    <mergeCell ref="M7:N7"/>
    <mergeCell ref="P4:Q4"/>
    <mergeCell ref="D5:E5"/>
    <mergeCell ref="G5:H5"/>
    <mergeCell ref="J5:K5"/>
    <mergeCell ref="M5:N5"/>
    <mergeCell ref="P5:Q5"/>
    <mergeCell ref="D4:E4"/>
    <mergeCell ref="G4:H4"/>
    <mergeCell ref="J4:K4"/>
    <mergeCell ref="M4:N4"/>
    <mergeCell ref="D50:H50"/>
    <mergeCell ref="C28:C46"/>
    <mergeCell ref="F28:F46"/>
    <mergeCell ref="I28:I46"/>
    <mergeCell ref="L28:L46"/>
    <mergeCell ref="O28:O46"/>
    <mergeCell ref="G57:H57"/>
    <mergeCell ref="I57:J57"/>
    <mergeCell ref="K57:L57"/>
    <mergeCell ref="L68:M68"/>
    <mergeCell ref="L69:M69"/>
    <mergeCell ref="G62:H62"/>
    <mergeCell ref="H111:I111"/>
    <mergeCell ref="K107:M107"/>
    <mergeCell ref="J111:K111"/>
    <mergeCell ref="G63:H63"/>
    <mergeCell ref="K67:M67"/>
    <mergeCell ref="L86:M86"/>
    <mergeCell ref="L87:M87"/>
    <mergeCell ref="L88:M88"/>
    <mergeCell ref="L89:M89"/>
    <mergeCell ref="L90:M90"/>
    <mergeCell ref="L95:M95"/>
    <mergeCell ref="L96:M96"/>
    <mergeCell ref="L97:M97"/>
    <mergeCell ref="G67:H67"/>
    <mergeCell ref="I67:J67"/>
    <mergeCell ref="L70:M70"/>
    <mergeCell ref="L71:M71"/>
    <mergeCell ref="H110:M110"/>
    <mergeCell ref="E76:E77"/>
    <mergeCell ref="L80:M80"/>
    <mergeCell ref="L81:M81"/>
    <mergeCell ref="L82:M82"/>
    <mergeCell ref="L78:M78"/>
    <mergeCell ref="L79:M79"/>
    <mergeCell ref="L72:M72"/>
    <mergeCell ref="L73:M73"/>
    <mergeCell ref="L74:M74"/>
    <mergeCell ref="L76:M76"/>
    <mergeCell ref="L77:M77"/>
    <mergeCell ref="L98:M98"/>
    <mergeCell ref="L99:M99"/>
    <mergeCell ref="L101:M101"/>
    <mergeCell ref="L102:M102"/>
    <mergeCell ref="L103:M103"/>
    <mergeCell ref="L104:M104"/>
    <mergeCell ref="L105:M105"/>
    <mergeCell ref="H123:I123"/>
    <mergeCell ref="H124:I124"/>
    <mergeCell ref="H125:I125"/>
    <mergeCell ref="J122:K122"/>
    <mergeCell ref="J123:K123"/>
    <mergeCell ref="J124:K124"/>
    <mergeCell ref="J125:K125"/>
    <mergeCell ref="J114:K114"/>
    <mergeCell ref="J115:K115"/>
    <mergeCell ref="J116:K116"/>
    <mergeCell ref="J117:K117"/>
    <mergeCell ref="J118:K118"/>
    <mergeCell ref="J119:K119"/>
    <mergeCell ref="J120:K120"/>
    <mergeCell ref="J121:K121"/>
    <mergeCell ref="H114:I114"/>
    <mergeCell ref="H115:I115"/>
    <mergeCell ref="H116:I116"/>
    <mergeCell ref="H117:I117"/>
    <mergeCell ref="H118:I118"/>
    <mergeCell ref="H119:I119"/>
    <mergeCell ref="H121:I121"/>
  </mergeCells>
  <conditionalFormatting sqref="C131:P139">
    <cfRule type="cellIs" dxfId="413" priority="16" operator="greaterThan">
      <formula>0</formula>
    </cfRule>
  </conditionalFormatting>
  <conditionalFormatting sqref="C143:P151">
    <cfRule type="cellIs" dxfId="412" priority="15" operator="greaterThan">
      <formula>0</formula>
    </cfRule>
  </conditionalFormatting>
  <conditionalFormatting sqref="C156:P164">
    <cfRule type="cellIs" dxfId="411" priority="14" operator="greaterThan">
      <formula>0</formula>
    </cfRule>
  </conditionalFormatting>
  <conditionalFormatting sqref="B8:B46">
    <cfRule type="colorScale" priority="11">
      <colorScale>
        <cfvo type="min"/>
        <cfvo type="percentile" val="50"/>
        <cfvo type="max"/>
        <color rgb="FF63BE7B"/>
        <color rgb="FFFFEB84"/>
        <color rgb="FFF8696B"/>
      </colorScale>
    </cfRule>
  </conditionalFormatting>
  <conditionalFormatting sqref="D8:D46">
    <cfRule type="colorScale" priority="10">
      <colorScale>
        <cfvo type="min"/>
        <cfvo type="percentile" val="50"/>
        <cfvo type="max"/>
        <color rgb="FF63BE7B"/>
        <color rgb="FFFFEB84"/>
        <color rgb="FFF8696B"/>
      </colorScale>
    </cfRule>
  </conditionalFormatting>
  <conditionalFormatting sqref="E8:E46">
    <cfRule type="colorScale" priority="9">
      <colorScale>
        <cfvo type="min"/>
        <cfvo type="percentile" val="50"/>
        <cfvo type="max"/>
        <color rgb="FF63BE7B"/>
        <color rgb="FFFFEB84"/>
        <color rgb="FFF8696B"/>
      </colorScale>
    </cfRule>
  </conditionalFormatting>
  <conditionalFormatting sqref="G8:G46">
    <cfRule type="colorScale" priority="8">
      <colorScale>
        <cfvo type="min"/>
        <cfvo type="percentile" val="50"/>
        <cfvo type="max"/>
        <color rgb="FF63BE7B"/>
        <color rgb="FFFFEB84"/>
        <color rgb="FFF8696B"/>
      </colorScale>
    </cfRule>
  </conditionalFormatting>
  <conditionalFormatting sqref="H8:H46">
    <cfRule type="colorScale" priority="7">
      <colorScale>
        <cfvo type="min"/>
        <cfvo type="percentile" val="50"/>
        <cfvo type="max"/>
        <color rgb="FF63BE7B"/>
        <color rgb="FFFFEB84"/>
        <color rgb="FFF8696B"/>
      </colorScale>
    </cfRule>
  </conditionalFormatting>
  <conditionalFormatting sqref="J8:J46">
    <cfRule type="colorScale" priority="6">
      <colorScale>
        <cfvo type="min"/>
        <cfvo type="percentile" val="50"/>
        <cfvo type="max"/>
        <color rgb="FF63BE7B"/>
        <color rgb="FFFFEB84"/>
        <color rgb="FFF8696B"/>
      </colorScale>
    </cfRule>
  </conditionalFormatting>
  <conditionalFormatting sqref="K8:K46">
    <cfRule type="colorScale" priority="5">
      <colorScale>
        <cfvo type="min"/>
        <cfvo type="percentile" val="50"/>
        <cfvo type="max"/>
        <color rgb="FF63BE7B"/>
        <color rgb="FFFFEB84"/>
        <color rgb="FFF8696B"/>
      </colorScale>
    </cfRule>
  </conditionalFormatting>
  <conditionalFormatting sqref="M8:M46">
    <cfRule type="colorScale" priority="4">
      <colorScale>
        <cfvo type="min"/>
        <cfvo type="percentile" val="50"/>
        <cfvo type="max"/>
        <color rgb="FF63BE7B"/>
        <color rgb="FFFFEB84"/>
        <color rgb="FFF8696B"/>
      </colorScale>
    </cfRule>
  </conditionalFormatting>
  <conditionalFormatting sqref="N8:N46">
    <cfRule type="colorScale" priority="3">
      <colorScale>
        <cfvo type="min"/>
        <cfvo type="percentile" val="50"/>
        <cfvo type="max"/>
        <color rgb="FF63BE7B"/>
        <color rgb="FFFFEB84"/>
        <color rgb="FFF8696B"/>
      </colorScale>
    </cfRule>
  </conditionalFormatting>
  <conditionalFormatting sqref="P8:P46">
    <cfRule type="colorScale" priority="2">
      <colorScale>
        <cfvo type="min"/>
        <cfvo type="percentile" val="50"/>
        <cfvo type="max"/>
        <color rgb="FF63BE7B"/>
        <color rgb="FFFFEB84"/>
        <color rgb="FFF8696B"/>
      </colorScale>
    </cfRule>
  </conditionalFormatting>
  <conditionalFormatting sqref="Q8:Q46">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ignoredErrors>
    <ignoredError sqref="G98:M99 H97:M9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70DC-2977-40E6-B0FC-D41B8C3908D1}">
  <sheetPr codeName="Tabelle17">
    <tabColor rgb="FFFFC000"/>
  </sheetPr>
  <dimension ref="A1:R159"/>
  <sheetViews>
    <sheetView workbookViewId="0"/>
  </sheetViews>
  <sheetFormatPr baseColWidth="10" defaultColWidth="11.44140625" defaultRowHeight="14.55" x14ac:dyDescent="0.3"/>
  <cols>
    <col min="1" max="1" width="12.88671875" style="384" bestFit="1" customWidth="1"/>
    <col min="2" max="2" width="11.5546875" style="384" bestFit="1" customWidth="1"/>
    <col min="3" max="5" width="11.88671875" style="384" bestFit="1" customWidth="1"/>
    <col min="6" max="6" width="11.6640625" style="384" bestFit="1" customWidth="1"/>
    <col min="7" max="7" width="17.88671875" style="384" bestFit="1" customWidth="1"/>
    <col min="8" max="8" width="15" style="384" bestFit="1" customWidth="1"/>
    <col min="9" max="9" width="17.88671875" style="384" bestFit="1" customWidth="1"/>
    <col min="10" max="10" width="14.5546875" style="384" bestFit="1" customWidth="1"/>
    <col min="11" max="12" width="12" style="384" bestFit="1" customWidth="1"/>
    <col min="13" max="17" width="11.5546875"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x14ac:dyDescent="0.3">
      <c r="A2" s="1195" t="s">
        <v>321</v>
      </c>
      <c r="B2" s="390"/>
      <c r="C2" s="1200" t="s">
        <v>322</v>
      </c>
      <c r="D2" s="1201"/>
      <c r="E2" s="390"/>
      <c r="F2" s="1200" t="s">
        <v>323</v>
      </c>
      <c r="G2" s="1201"/>
      <c r="H2" s="390"/>
      <c r="I2" s="1200" t="s">
        <v>324</v>
      </c>
      <c r="J2" s="1201"/>
    </row>
    <row r="3" spans="1:13" ht="26.2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3">
        <v>2547</v>
      </c>
      <c r="G6" s="424">
        <v>2990</v>
      </c>
      <c r="H6" s="422"/>
      <c r="I6" s="423">
        <v>2990</v>
      </c>
      <c r="J6" s="424">
        <v>3405</v>
      </c>
    </row>
    <row r="7" spans="1:13" x14ac:dyDescent="0.3">
      <c r="A7" s="427">
        <v>10000</v>
      </c>
      <c r="B7" s="422"/>
      <c r="C7" s="428">
        <v>3689</v>
      </c>
      <c r="D7" s="429">
        <v>4408</v>
      </c>
      <c r="E7" s="422"/>
      <c r="F7" s="428">
        <v>4408</v>
      </c>
      <c r="G7" s="429">
        <v>5174</v>
      </c>
      <c r="H7" s="422"/>
      <c r="I7" s="428">
        <v>5174</v>
      </c>
      <c r="J7" s="429">
        <v>5893</v>
      </c>
    </row>
    <row r="8" spans="1:13" x14ac:dyDescent="0.3">
      <c r="A8" s="427">
        <v>15000</v>
      </c>
      <c r="B8" s="422"/>
      <c r="C8" s="428">
        <v>5084</v>
      </c>
      <c r="D8" s="429">
        <v>6075</v>
      </c>
      <c r="E8" s="422"/>
      <c r="F8" s="428">
        <v>6075</v>
      </c>
      <c r="G8" s="429">
        <v>7131</v>
      </c>
      <c r="H8" s="422"/>
      <c r="I8" s="428">
        <v>7131</v>
      </c>
      <c r="J8" s="429">
        <v>8122</v>
      </c>
    </row>
    <row r="9" spans="1:13" x14ac:dyDescent="0.3">
      <c r="A9" s="427">
        <v>25000</v>
      </c>
      <c r="B9" s="422"/>
      <c r="C9" s="428">
        <v>7615</v>
      </c>
      <c r="D9" s="429">
        <v>9098</v>
      </c>
      <c r="E9" s="422"/>
      <c r="F9" s="428">
        <v>9098</v>
      </c>
      <c r="G9" s="429">
        <v>10681</v>
      </c>
      <c r="H9" s="422"/>
      <c r="I9" s="428">
        <v>10681</v>
      </c>
      <c r="J9" s="429">
        <v>12164</v>
      </c>
    </row>
    <row r="10" spans="1:13" x14ac:dyDescent="0.3">
      <c r="A10" s="427">
        <v>35000</v>
      </c>
      <c r="B10" s="422"/>
      <c r="C10" s="428">
        <v>9934</v>
      </c>
      <c r="D10" s="429">
        <v>11869</v>
      </c>
      <c r="E10" s="422"/>
      <c r="F10" s="428">
        <v>11869</v>
      </c>
      <c r="G10" s="429">
        <v>13934</v>
      </c>
      <c r="H10" s="422"/>
      <c r="I10" s="428">
        <v>13934</v>
      </c>
      <c r="J10" s="429">
        <v>15869</v>
      </c>
    </row>
    <row r="11" spans="1:13" x14ac:dyDescent="0.3">
      <c r="A11" s="427">
        <v>50000</v>
      </c>
      <c r="B11" s="422"/>
      <c r="C11" s="428">
        <v>13165</v>
      </c>
      <c r="D11" s="429">
        <v>15729</v>
      </c>
      <c r="E11" s="422"/>
      <c r="F11" s="428">
        <v>15729</v>
      </c>
      <c r="G11" s="429">
        <v>18465</v>
      </c>
      <c r="H11" s="422"/>
      <c r="I11" s="428">
        <v>18465</v>
      </c>
      <c r="J11" s="429">
        <v>21029</v>
      </c>
    </row>
    <row r="12" spans="1:13" x14ac:dyDescent="0.3">
      <c r="A12" s="427">
        <v>75000</v>
      </c>
      <c r="B12" s="422"/>
      <c r="C12" s="428">
        <v>18122</v>
      </c>
      <c r="D12" s="429">
        <v>21652</v>
      </c>
      <c r="E12" s="422"/>
      <c r="F12" s="428">
        <v>21652</v>
      </c>
      <c r="G12" s="429">
        <v>25418</v>
      </c>
      <c r="H12" s="422"/>
      <c r="I12" s="428">
        <v>25418</v>
      </c>
      <c r="J12" s="429">
        <v>28948</v>
      </c>
    </row>
    <row r="13" spans="1:13" x14ac:dyDescent="0.3">
      <c r="A13" s="427">
        <v>100000</v>
      </c>
      <c r="B13" s="422"/>
      <c r="C13" s="428">
        <v>22723</v>
      </c>
      <c r="D13" s="429">
        <v>27150</v>
      </c>
      <c r="E13" s="422"/>
      <c r="F13" s="428">
        <v>27150</v>
      </c>
      <c r="G13" s="429">
        <v>31872</v>
      </c>
      <c r="H13" s="422"/>
      <c r="I13" s="428">
        <v>31872</v>
      </c>
      <c r="J13" s="429">
        <v>36299</v>
      </c>
    </row>
    <row r="14" spans="1:13" x14ac:dyDescent="0.3">
      <c r="A14" s="427">
        <v>150000</v>
      </c>
      <c r="B14" s="422"/>
      <c r="C14" s="428">
        <v>31228</v>
      </c>
      <c r="D14" s="429">
        <v>37311</v>
      </c>
      <c r="E14" s="422"/>
      <c r="F14" s="428">
        <v>37311</v>
      </c>
      <c r="G14" s="429">
        <v>43800</v>
      </c>
      <c r="H14" s="422"/>
      <c r="I14" s="428">
        <v>43800</v>
      </c>
      <c r="J14" s="429">
        <v>49883</v>
      </c>
    </row>
    <row r="15" spans="1:13" x14ac:dyDescent="0.3">
      <c r="A15" s="427">
        <v>250000</v>
      </c>
      <c r="B15" s="422"/>
      <c r="C15" s="428">
        <v>46640</v>
      </c>
      <c r="D15" s="429">
        <v>55726</v>
      </c>
      <c r="E15" s="422"/>
      <c r="F15" s="428">
        <v>55726</v>
      </c>
      <c r="G15" s="429">
        <v>65418</v>
      </c>
      <c r="H15" s="422"/>
      <c r="I15" s="428">
        <v>65418</v>
      </c>
      <c r="J15" s="429">
        <v>74504</v>
      </c>
    </row>
    <row r="16" spans="1:13" x14ac:dyDescent="0.3">
      <c r="A16" s="427">
        <v>500000</v>
      </c>
      <c r="B16" s="422"/>
      <c r="C16" s="428">
        <v>80684</v>
      </c>
      <c r="D16" s="429">
        <v>96402</v>
      </c>
      <c r="E16" s="422"/>
      <c r="F16" s="428">
        <v>96402</v>
      </c>
      <c r="G16" s="429">
        <v>113168</v>
      </c>
      <c r="H16" s="422"/>
      <c r="I16" s="428">
        <v>113168</v>
      </c>
      <c r="J16" s="429">
        <v>128886</v>
      </c>
    </row>
    <row r="17" spans="1:12" x14ac:dyDescent="0.3">
      <c r="A17" s="427">
        <v>750000</v>
      </c>
      <c r="B17" s="422"/>
      <c r="C17" s="428">
        <v>111105</v>
      </c>
      <c r="D17" s="429">
        <v>132749</v>
      </c>
      <c r="E17" s="422"/>
      <c r="F17" s="428">
        <v>132749</v>
      </c>
      <c r="G17" s="429">
        <v>155836</v>
      </c>
      <c r="H17" s="422"/>
      <c r="I17" s="428">
        <v>155836</v>
      </c>
      <c r="J17" s="429">
        <v>177480</v>
      </c>
    </row>
    <row r="18" spans="1:12" x14ac:dyDescent="0.3">
      <c r="A18" s="427">
        <v>1000000</v>
      </c>
      <c r="B18" s="422"/>
      <c r="C18" s="428">
        <v>139347</v>
      </c>
      <c r="D18" s="429">
        <v>166493</v>
      </c>
      <c r="E18" s="422"/>
      <c r="F18" s="428">
        <v>166493</v>
      </c>
      <c r="G18" s="429">
        <v>195448</v>
      </c>
      <c r="H18" s="422"/>
      <c r="I18" s="428">
        <v>195448</v>
      </c>
      <c r="J18" s="429">
        <v>222594</v>
      </c>
    </row>
    <row r="19" spans="1:12" x14ac:dyDescent="0.3">
      <c r="A19" s="427">
        <v>1250000</v>
      </c>
      <c r="B19" s="422"/>
      <c r="C19" s="428">
        <v>166043</v>
      </c>
      <c r="D19" s="429">
        <v>198389</v>
      </c>
      <c r="E19" s="422"/>
      <c r="F19" s="428">
        <v>198389</v>
      </c>
      <c r="G19" s="429">
        <v>232891</v>
      </c>
      <c r="H19" s="422"/>
      <c r="I19" s="428">
        <v>232891</v>
      </c>
      <c r="J19" s="429">
        <v>265237</v>
      </c>
    </row>
    <row r="20" spans="1:12" x14ac:dyDescent="0.3">
      <c r="A20" s="427">
        <v>1500000</v>
      </c>
      <c r="B20" s="422"/>
      <c r="C20" s="428">
        <v>191545</v>
      </c>
      <c r="D20" s="429">
        <v>228859</v>
      </c>
      <c r="E20" s="422"/>
      <c r="F20" s="428">
        <v>228859</v>
      </c>
      <c r="G20" s="429">
        <v>268660</v>
      </c>
      <c r="H20" s="422"/>
      <c r="I20" s="428">
        <v>268660</v>
      </c>
      <c r="J20" s="429">
        <v>305974</v>
      </c>
    </row>
    <row r="21" spans="1:12" x14ac:dyDescent="0.3">
      <c r="A21" s="427">
        <v>2000000</v>
      </c>
      <c r="B21" s="422"/>
      <c r="C21" s="428">
        <v>239792</v>
      </c>
      <c r="D21" s="429">
        <v>286504</v>
      </c>
      <c r="E21" s="422"/>
      <c r="F21" s="428">
        <v>286504</v>
      </c>
      <c r="G21" s="429">
        <v>336331</v>
      </c>
      <c r="H21" s="422"/>
      <c r="I21" s="428">
        <v>336331</v>
      </c>
      <c r="J21" s="429">
        <v>383044</v>
      </c>
    </row>
    <row r="22" spans="1:12" x14ac:dyDescent="0.3">
      <c r="A22" s="427">
        <v>2500000</v>
      </c>
      <c r="B22" s="422"/>
      <c r="C22" s="428">
        <v>285649</v>
      </c>
      <c r="D22" s="429">
        <v>341295</v>
      </c>
      <c r="E22" s="422"/>
      <c r="F22" s="428">
        <v>341295</v>
      </c>
      <c r="G22" s="429">
        <v>400650</v>
      </c>
      <c r="H22" s="422"/>
      <c r="I22" s="428">
        <v>400650</v>
      </c>
      <c r="J22" s="429">
        <v>456296</v>
      </c>
    </row>
    <row r="23" spans="1:12" x14ac:dyDescent="0.3">
      <c r="A23" s="427">
        <v>3000000</v>
      </c>
      <c r="B23" s="422"/>
      <c r="C23" s="428">
        <v>329420</v>
      </c>
      <c r="D23" s="429">
        <v>393593</v>
      </c>
      <c r="E23" s="422"/>
      <c r="F23" s="428">
        <v>393593</v>
      </c>
      <c r="G23" s="429">
        <v>462044</v>
      </c>
      <c r="H23" s="422"/>
      <c r="I23" s="428">
        <v>462044</v>
      </c>
      <c r="J23" s="429">
        <v>526217</v>
      </c>
    </row>
    <row r="24" spans="1:12" x14ac:dyDescent="0.3">
      <c r="A24" s="427">
        <v>3500000</v>
      </c>
      <c r="B24" s="422"/>
      <c r="C24" s="428">
        <v>371491</v>
      </c>
      <c r="D24" s="429">
        <v>443859</v>
      </c>
      <c r="E24" s="422"/>
      <c r="F24" s="428">
        <v>443859</v>
      </c>
      <c r="G24" s="429">
        <v>521052</v>
      </c>
      <c r="H24" s="422"/>
      <c r="I24" s="428">
        <v>521052</v>
      </c>
      <c r="J24" s="429">
        <v>593420</v>
      </c>
    </row>
    <row r="25" spans="1:12" ht="15.2" thickBot="1" x14ac:dyDescent="0.35">
      <c r="A25" s="427">
        <v>4000000</v>
      </c>
      <c r="B25" s="431"/>
      <c r="C25" s="428">
        <v>412126</v>
      </c>
      <c r="D25" s="429">
        <v>492410</v>
      </c>
      <c r="E25" s="432"/>
      <c r="F25" s="428">
        <v>492410</v>
      </c>
      <c r="G25" s="429">
        <v>578046</v>
      </c>
      <c r="H25" s="422"/>
      <c r="I25" s="428">
        <v>578046</v>
      </c>
      <c r="J25" s="429">
        <v>658331</v>
      </c>
    </row>
    <row r="26" spans="1:12" x14ac:dyDescent="0.3">
      <c r="A26" s="427">
        <v>5000000</v>
      </c>
      <c r="B26" s="1255" t="s">
        <v>334</v>
      </c>
      <c r="C26" s="428">
        <v>491179</v>
      </c>
      <c r="D26" s="429">
        <v>586864</v>
      </c>
      <c r="E26" s="1255" t="s">
        <v>334</v>
      </c>
      <c r="F26" s="428">
        <f>D26</f>
        <v>586864</v>
      </c>
      <c r="G26" s="429">
        <v>688927</v>
      </c>
      <c r="H26" s="1255" t="s">
        <v>334</v>
      </c>
      <c r="I26" s="428">
        <f>G26</f>
        <v>688927</v>
      </c>
      <c r="J26" s="429">
        <v>784611</v>
      </c>
      <c r="L26" s="562"/>
    </row>
    <row r="27" spans="1:12" x14ac:dyDescent="0.3">
      <c r="A27" s="427">
        <v>6000000</v>
      </c>
      <c r="B27" s="1256"/>
      <c r="C27" s="428">
        <v>566898</v>
      </c>
      <c r="D27" s="429">
        <v>677333</v>
      </c>
      <c r="E27" s="1256"/>
      <c r="F27" s="428">
        <f>D27</f>
        <v>677333</v>
      </c>
      <c r="G27" s="429">
        <v>795130</v>
      </c>
      <c r="H27" s="1256"/>
      <c r="I27" s="428">
        <f>G27</f>
        <v>795130</v>
      </c>
      <c r="J27" s="429">
        <v>905564</v>
      </c>
      <c r="L27" s="562"/>
    </row>
    <row r="28" spans="1:12" x14ac:dyDescent="0.3">
      <c r="A28" s="427">
        <v>7000000</v>
      </c>
      <c r="B28" s="1256"/>
      <c r="C28" s="428">
        <v>639950</v>
      </c>
      <c r="D28" s="429">
        <v>764616</v>
      </c>
      <c r="E28" s="1256"/>
      <c r="F28" s="428">
        <f t="shared" ref="F28:F44" si="0">D28</f>
        <v>764616</v>
      </c>
      <c r="G28" s="429">
        <v>897593</v>
      </c>
      <c r="H28" s="1256"/>
      <c r="I28" s="428">
        <f t="shared" ref="I28:I44" si="1">G28</f>
        <v>897593</v>
      </c>
      <c r="J28" s="429">
        <v>1022258</v>
      </c>
      <c r="L28" s="562"/>
    </row>
    <row r="29" spans="1:12" x14ac:dyDescent="0.3">
      <c r="A29" s="427">
        <v>8000000</v>
      </c>
      <c r="B29" s="1256"/>
      <c r="C29" s="428">
        <v>710795</v>
      </c>
      <c r="D29" s="429">
        <v>849261</v>
      </c>
      <c r="E29" s="1256"/>
      <c r="F29" s="428">
        <f t="shared" si="0"/>
        <v>849261</v>
      </c>
      <c r="G29" s="429">
        <v>996959</v>
      </c>
      <c r="H29" s="1256"/>
      <c r="I29" s="428">
        <f t="shared" si="1"/>
        <v>996959</v>
      </c>
      <c r="J29" s="429">
        <v>1135425</v>
      </c>
      <c r="L29" s="562"/>
    </row>
    <row r="30" spans="1:12" x14ac:dyDescent="0.3">
      <c r="A30" s="427">
        <v>9000000</v>
      </c>
      <c r="B30" s="1256"/>
      <c r="C30" s="428">
        <v>779763</v>
      </c>
      <c r="D30" s="429">
        <v>931665</v>
      </c>
      <c r="E30" s="1256"/>
      <c r="F30" s="428">
        <f t="shared" si="0"/>
        <v>931665</v>
      </c>
      <c r="G30" s="429">
        <v>1093694</v>
      </c>
      <c r="H30" s="1256"/>
      <c r="I30" s="428">
        <f t="shared" si="1"/>
        <v>1093694</v>
      </c>
      <c r="J30" s="429">
        <v>1245595</v>
      </c>
      <c r="L30" s="562"/>
    </row>
    <row r="31" spans="1:12" x14ac:dyDescent="0.3">
      <c r="A31" s="427">
        <v>10000000</v>
      </c>
      <c r="B31" s="1256"/>
      <c r="C31" s="428">
        <v>847106</v>
      </c>
      <c r="D31" s="429">
        <v>1012127</v>
      </c>
      <c r="E31" s="1256"/>
      <c r="F31" s="428">
        <f t="shared" si="0"/>
        <v>1012127</v>
      </c>
      <c r="G31" s="429">
        <v>1188149</v>
      </c>
      <c r="H31" s="1256"/>
      <c r="I31" s="428">
        <f t="shared" si="1"/>
        <v>1188149</v>
      </c>
      <c r="J31" s="429">
        <v>1353170</v>
      </c>
      <c r="L31" s="562"/>
    </row>
    <row r="32" spans="1:12" x14ac:dyDescent="0.3">
      <c r="A32" s="427">
        <v>12500000</v>
      </c>
      <c r="B32" s="1256"/>
      <c r="C32" s="428">
        <v>1009545</v>
      </c>
      <c r="D32" s="429">
        <v>1206209</v>
      </c>
      <c r="E32" s="1256"/>
      <c r="F32" s="428">
        <f t="shared" si="0"/>
        <v>1206209</v>
      </c>
      <c r="G32" s="429">
        <v>1415985</v>
      </c>
      <c r="H32" s="1256"/>
      <c r="I32" s="428">
        <f t="shared" si="1"/>
        <v>1415985</v>
      </c>
      <c r="J32" s="429">
        <v>1612649</v>
      </c>
      <c r="L32" s="562"/>
    </row>
    <row r="33" spans="1:17" x14ac:dyDescent="0.3">
      <c r="A33" s="427">
        <v>15000000</v>
      </c>
      <c r="B33" s="1256"/>
      <c r="C33" s="428">
        <v>1165120</v>
      </c>
      <c r="D33" s="429">
        <v>1392092</v>
      </c>
      <c r="E33" s="1256"/>
      <c r="F33" s="428">
        <f t="shared" si="0"/>
        <v>1392092</v>
      </c>
      <c r="G33" s="429">
        <v>1634195</v>
      </c>
      <c r="H33" s="1256"/>
      <c r="I33" s="428">
        <f t="shared" si="1"/>
        <v>1634195</v>
      </c>
      <c r="J33" s="429">
        <v>1861166</v>
      </c>
      <c r="L33" s="562"/>
    </row>
    <row r="34" spans="1:17" x14ac:dyDescent="0.3">
      <c r="A34" s="427">
        <v>17500000</v>
      </c>
      <c r="B34" s="1256"/>
      <c r="C34" s="428">
        <v>1315210</v>
      </c>
      <c r="D34" s="429">
        <v>1571419</v>
      </c>
      <c r="E34" s="1256"/>
      <c r="F34" s="428">
        <f t="shared" si="0"/>
        <v>1571419</v>
      </c>
      <c r="G34" s="429">
        <v>1844710</v>
      </c>
      <c r="H34" s="1256"/>
      <c r="I34" s="428">
        <f t="shared" si="1"/>
        <v>1844710</v>
      </c>
      <c r="J34" s="429">
        <v>2100919</v>
      </c>
      <c r="L34" s="562"/>
    </row>
    <row r="35" spans="1:17" x14ac:dyDescent="0.3">
      <c r="A35" s="427">
        <v>20000000</v>
      </c>
      <c r="B35" s="1256"/>
      <c r="C35" s="428">
        <v>1460755</v>
      </c>
      <c r="D35" s="429">
        <v>1745318</v>
      </c>
      <c r="E35" s="1256"/>
      <c r="F35" s="428">
        <f t="shared" si="0"/>
        <v>1745318</v>
      </c>
      <c r="G35" s="429">
        <v>2048852</v>
      </c>
      <c r="H35" s="1256"/>
      <c r="I35" s="428">
        <f t="shared" si="1"/>
        <v>2048852</v>
      </c>
      <c r="J35" s="429">
        <v>2333414</v>
      </c>
      <c r="L35" s="562"/>
    </row>
    <row r="36" spans="1:17" x14ac:dyDescent="0.3">
      <c r="A36" s="427">
        <v>25000000</v>
      </c>
      <c r="B36" s="1256"/>
      <c r="C36" s="428">
        <v>1740783</v>
      </c>
      <c r="D36" s="429">
        <v>2079896</v>
      </c>
      <c r="E36" s="1256"/>
      <c r="F36" s="428">
        <f t="shared" si="0"/>
        <v>2079896</v>
      </c>
      <c r="G36" s="429">
        <v>2441617</v>
      </c>
      <c r="H36" s="1256"/>
      <c r="I36" s="428">
        <f t="shared" si="1"/>
        <v>2441617</v>
      </c>
      <c r="J36" s="429">
        <v>2780731</v>
      </c>
      <c r="L36" s="562"/>
    </row>
    <row r="37" spans="1:17" x14ac:dyDescent="0.3">
      <c r="A37" s="427">
        <v>30000000</v>
      </c>
      <c r="B37" s="1256"/>
      <c r="C37" s="428">
        <v>2008964</v>
      </c>
      <c r="D37" s="429">
        <v>2400321</v>
      </c>
      <c r="E37" s="1256"/>
      <c r="F37" s="428">
        <f t="shared" si="0"/>
        <v>2400321</v>
      </c>
      <c r="G37" s="429">
        <v>2817768</v>
      </c>
      <c r="H37" s="1256"/>
      <c r="I37" s="428">
        <f t="shared" si="1"/>
        <v>2817768</v>
      </c>
      <c r="J37" s="429">
        <v>3209125</v>
      </c>
      <c r="L37" s="562"/>
    </row>
    <row r="38" spans="1:17" x14ac:dyDescent="0.3">
      <c r="A38" s="427">
        <v>40000000</v>
      </c>
      <c r="B38" s="1256"/>
      <c r="C38" s="428">
        <v>2518545</v>
      </c>
      <c r="D38" s="429">
        <v>3009171</v>
      </c>
      <c r="E38" s="1256"/>
      <c r="F38" s="428">
        <f t="shared" si="0"/>
        <v>3009171</v>
      </c>
      <c r="G38" s="429">
        <v>3532505</v>
      </c>
      <c r="H38" s="1256"/>
      <c r="I38" s="428">
        <f t="shared" si="1"/>
        <v>3532505</v>
      </c>
      <c r="J38" s="429">
        <v>4023130</v>
      </c>
      <c r="L38" s="562"/>
    </row>
    <row r="39" spans="1:17" x14ac:dyDescent="0.3">
      <c r="A39" s="427">
        <v>50000000</v>
      </c>
      <c r="B39" s="1256"/>
      <c r="C39" s="428">
        <v>3001186</v>
      </c>
      <c r="D39" s="429">
        <v>3585832</v>
      </c>
      <c r="E39" s="1256"/>
      <c r="F39" s="428">
        <f t="shared" si="0"/>
        <v>3585832</v>
      </c>
      <c r="G39" s="429">
        <v>4209455</v>
      </c>
      <c r="H39" s="1256"/>
      <c r="I39" s="428">
        <f t="shared" si="1"/>
        <v>4209455</v>
      </c>
      <c r="J39" s="429">
        <v>4794102</v>
      </c>
      <c r="L39" s="562"/>
    </row>
    <row r="40" spans="1:17" x14ac:dyDescent="0.3">
      <c r="A40" s="427">
        <v>75000000</v>
      </c>
      <c r="B40" s="1256"/>
      <c r="C40" s="428">
        <v>4126934</v>
      </c>
      <c r="D40" s="429">
        <v>4930882</v>
      </c>
      <c r="E40" s="1256"/>
      <c r="F40" s="428">
        <f t="shared" si="0"/>
        <v>4930882</v>
      </c>
      <c r="G40" s="429">
        <v>5788426</v>
      </c>
      <c r="H40" s="1256"/>
      <c r="I40" s="428">
        <f t="shared" si="1"/>
        <v>5788426</v>
      </c>
      <c r="J40" s="429">
        <v>6592374</v>
      </c>
      <c r="L40" s="562"/>
    </row>
    <row r="41" spans="1:17" x14ac:dyDescent="0.3">
      <c r="A41" s="427">
        <v>100000000</v>
      </c>
      <c r="B41" s="1256"/>
      <c r="C41" s="428">
        <v>5173197</v>
      </c>
      <c r="D41" s="429">
        <v>6180963</v>
      </c>
      <c r="E41" s="1256"/>
      <c r="F41" s="428">
        <f t="shared" si="0"/>
        <v>6180963</v>
      </c>
      <c r="G41" s="429">
        <v>7255913</v>
      </c>
      <c r="H41" s="1256"/>
      <c r="I41" s="428">
        <f t="shared" si="1"/>
        <v>7255913</v>
      </c>
      <c r="J41" s="429">
        <v>8263678</v>
      </c>
      <c r="L41" s="562"/>
    </row>
    <row r="42" spans="1:17" x14ac:dyDescent="0.3">
      <c r="A42" s="427">
        <v>150000000</v>
      </c>
      <c r="B42" s="1256"/>
      <c r="C42" s="428">
        <v>7112783</v>
      </c>
      <c r="D42" s="429">
        <v>8498390</v>
      </c>
      <c r="E42" s="1256"/>
      <c r="F42" s="428">
        <f t="shared" si="0"/>
        <v>8498390</v>
      </c>
      <c r="G42" s="429">
        <v>9976370</v>
      </c>
      <c r="H42" s="1256"/>
      <c r="I42" s="428">
        <f t="shared" si="1"/>
        <v>9976370</v>
      </c>
      <c r="J42" s="429">
        <v>11361977</v>
      </c>
      <c r="L42" s="562"/>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c r="L43" s="562"/>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c r="L44" s="562"/>
    </row>
    <row r="45" spans="1:17" x14ac:dyDescent="0.3">
      <c r="A45" s="431"/>
      <c r="B45" s="431"/>
      <c r="C45" s="431"/>
      <c r="D45" s="431"/>
      <c r="E45" s="431"/>
      <c r="F45" s="436"/>
      <c r="G45" s="436"/>
      <c r="H45" s="431"/>
      <c r="I45" s="436"/>
      <c r="J45" s="436"/>
    </row>
    <row r="46" spans="1:17" s="445" customFormat="1" ht="26.25" customHeight="1" x14ac:dyDescent="0.3">
      <c r="A46" s="437"/>
      <c r="B46" s="438" t="s">
        <v>463</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t="e">
        <f>#REF!</f>
        <v>#REF!</v>
      </c>
      <c r="H62" s="1263"/>
      <c r="I62" s="1262" t="e">
        <f>#REF!</f>
        <v>#REF!</v>
      </c>
      <c r="J62" s="1263"/>
      <c r="K62" s="1262" t="e">
        <f>#REF!</f>
        <v>#REF!</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t="e">
        <f>#REF!</f>
        <v>#REF!</v>
      </c>
      <c r="H64" s="1182"/>
      <c r="J64" s="1258"/>
      <c r="K64" s="1258"/>
      <c r="L64" s="456"/>
      <c r="M64" s="459"/>
      <c r="N64" s="443"/>
      <c r="O64" s="443"/>
      <c r="P64" s="443"/>
      <c r="Q64" s="444"/>
    </row>
    <row r="65" spans="1:17" x14ac:dyDescent="0.3">
      <c r="A65" s="446"/>
      <c r="B65" s="1242" t="s">
        <v>338</v>
      </c>
      <c r="C65" s="1243"/>
      <c r="D65" s="1243"/>
      <c r="E65" s="1244"/>
      <c r="F65" s="458"/>
      <c r="G65" s="1181" t="e">
        <f>#REF!</f>
        <v>#REF!</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171" t="s">
        <v>337</v>
      </c>
      <c r="F70" s="460"/>
      <c r="G70" s="461" t="s">
        <v>349</v>
      </c>
      <c r="H70" s="462" t="e">
        <f>IF(G62&lt;$A$6,0,IF(G62&gt;$A$44,0,VLOOKUP(G62,$A$6:$A$44,1)))</f>
        <v>#REF!</v>
      </c>
      <c r="I70" s="461" t="s">
        <v>349</v>
      </c>
      <c r="J70" s="462" t="e">
        <f>IF(I62&lt;$A$6,0,IF(I62&gt;$A$44,0,VLOOKUP(I62,$A$6:$A$44,1)))</f>
        <v>#REF!</v>
      </c>
      <c r="K70" s="461" t="s">
        <v>349</v>
      </c>
      <c r="L70" s="462" t="e">
        <f>IF(K62&lt;$A$6,0,IF(K62&gt;$A$44,0,VLOOKUP(K62,$A$6:$A$44,1)))</f>
        <v>#REF!</v>
      </c>
      <c r="M70" s="74"/>
      <c r="N70" s="444"/>
      <c r="O70" s="444"/>
      <c r="P70" s="444"/>
      <c r="Q70" s="444"/>
    </row>
    <row r="71" spans="1:17" x14ac:dyDescent="0.3">
      <c r="A71" s="446"/>
      <c r="B71" s="449"/>
      <c r="C71" s="449"/>
      <c r="D71" s="1223"/>
      <c r="E71" s="1172"/>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561">
        <v>1</v>
      </c>
      <c r="F72" s="74"/>
      <c r="G72" s="462" t="e">
        <f>IF(G62&lt;$A$6,0,IF(G62&gt;$A$44,0,VLOOKUP(H70,$A$6:$J$44,3)))</f>
        <v>#REF!</v>
      </c>
      <c r="H72" s="462" t="e">
        <f>IF(G62&lt;$A$6,0,IF(G62&gt;$A$44,0,VLOOKUP(G72,$C$6:$D$44,2)))</f>
        <v>#REF!</v>
      </c>
      <c r="I72" s="462" t="e">
        <f>IF(I62&lt;$A$6,0,IF(I62&gt;$A$44,0,VLOOKUP(J70,$A$6:$J$44,3)))</f>
        <v>#REF!</v>
      </c>
      <c r="J72" s="462" t="e">
        <f>IF(I62&lt;$A$6,0,IF(I62&gt;$A$44,0,VLOOKUP(I72,$C$6:$D$44,2)))</f>
        <v>#REF!</v>
      </c>
      <c r="K72" s="462" t="e">
        <f>IF(K62&lt;$A$6,0,IF(K62&gt;$A$44,0,VLOOKUP(L70,$A$6:$J$44,3)))</f>
        <v>#REF!</v>
      </c>
      <c r="L72" s="462" t="e">
        <f>IF(K62&lt;$A$6,0,IF(K62&gt;$A$44,0,VLOOKUP(K72,$C$6:$D$44,2)))</f>
        <v>#REF!</v>
      </c>
      <c r="M72" s="460"/>
      <c r="N72" s="444"/>
      <c r="O72" s="444"/>
      <c r="P72" s="444"/>
      <c r="Q72" s="444"/>
    </row>
    <row r="73" spans="1:17" x14ac:dyDescent="0.3">
      <c r="A73" s="446"/>
      <c r="B73" s="449"/>
      <c r="C73" s="449"/>
      <c r="D73" s="1223"/>
      <c r="E73" s="561">
        <v>2</v>
      </c>
      <c r="F73" s="74"/>
      <c r="G73" s="462" t="e">
        <f>IF(G62&lt;$A$6,0,IF(G62&gt;$A$44,0,VLOOKUP(H70,$A$6:$J$44,6)))</f>
        <v>#REF!</v>
      </c>
      <c r="H73" s="462" t="e">
        <f>IF(G62&lt;$A$6,0,IF(G62&gt;$A$44,0,VLOOKUP(G73,$F$6:$G$44,2)))</f>
        <v>#REF!</v>
      </c>
      <c r="I73" s="462" t="e">
        <f>IF(I62&lt;$A$6,0,IF(I62&gt;$A$44,0,VLOOKUP(J70,$A$6:$J$44,6)))</f>
        <v>#REF!</v>
      </c>
      <c r="J73" s="462" t="e">
        <f>IF(I62&lt;$A$6,0,IF(I62&gt;$A$44,0,VLOOKUP(I73,$F$6:$G$44,2)))</f>
        <v>#REF!</v>
      </c>
      <c r="K73" s="462" t="e">
        <f>IF(K62&lt;$A$6,0,IF(K62&gt;$A$44,0,VLOOKUP(L70,$A$6:$J$44,6)))</f>
        <v>#REF!</v>
      </c>
      <c r="L73" s="462" t="e">
        <f>IF(K62&lt;$A$6,0,IF(K62&gt;$A$44,0,VLOOKUP(K73,$F$6:$G$44,2)))</f>
        <v>#REF!</v>
      </c>
      <c r="M73" s="460"/>
      <c r="N73" s="444"/>
      <c r="O73" s="444"/>
      <c r="P73" s="444"/>
      <c r="Q73" s="444"/>
    </row>
    <row r="74" spans="1:17" x14ac:dyDescent="0.3">
      <c r="A74" s="446"/>
      <c r="B74" s="449"/>
      <c r="C74" s="449"/>
      <c r="D74" s="1224"/>
      <c r="E74" s="561">
        <v>3</v>
      </c>
      <c r="F74" s="74"/>
      <c r="G74" s="462" t="e">
        <f>IF(G62&lt;$A$6,0,IF(G62&gt;$A$44,0,VLOOKUP(H70,$A$6:$J$44,9)))</f>
        <v>#REF!</v>
      </c>
      <c r="H74" s="462" t="e">
        <f>IF(G62&lt;$A$6,0,IF(G62&gt;$A$44,0,VLOOKUP(G74,$I$6:$J$44,2)))</f>
        <v>#REF!</v>
      </c>
      <c r="I74" s="462" t="e">
        <f>IF(I62&lt;$A$6,0,IF(I62&gt;$A$44,0,VLOOKUP(J70,$A$6:$J$44,9)))</f>
        <v>#REF!</v>
      </c>
      <c r="J74" s="462" t="e">
        <f>IF(I62&lt;$A$6,0,IF(I62&gt;$A$44,0,VLOOKUP(I74,$I$6:$J$44,2)))</f>
        <v>#REF!</v>
      </c>
      <c r="K74" s="462" t="e">
        <f>IF(K62&lt;$A$6,0,IF(K62&gt;$A$44,0,VLOOKUP(L70,$A$6:$J$44,9)))</f>
        <v>#REF!</v>
      </c>
      <c r="L74" s="462" t="e">
        <f>IF(K62&lt;$A$6,0,IF(K62&gt;$A$44,0,VLOOKUP(K74,$I$6:$J$44,2)))</f>
        <v>#REF!</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171" t="s">
        <v>337</v>
      </c>
      <c r="F76" s="74"/>
      <c r="G76" s="461" t="s">
        <v>349</v>
      </c>
      <c r="H76" s="462" t="e" cm="1">
        <f t="array" ref="H76">IF(G62&lt;$A$6,0,IF(G62&gt;$A$44,0,INDEX($A$6:$A$44,MATCH(G62,$A$6:$A$44,1)+1,1)))</f>
        <v>#REF!</v>
      </c>
      <c r="I76" s="461" t="s">
        <v>349</v>
      </c>
      <c r="J76" s="462" t="e" cm="1">
        <f t="array" ref="J76">IF(I62&lt;$A$6,0,IF(I62&gt;$A$44,0,INDEX($A$6:$A$44,MATCH(I62,$A$6:$A$44,1)+1,1)))</f>
        <v>#REF!</v>
      </c>
      <c r="K76" s="461" t="s">
        <v>349</v>
      </c>
      <c r="L76" s="462" t="e">
        <f>IF(K62&lt;$A$6,0,IF(K62&gt;$A$44,0,INDEX($A$6:$A$44,MATCH(K62,$A$6:$A$44,1)+1,1)))</f>
        <v>#REF!</v>
      </c>
      <c r="M76" s="74"/>
      <c r="N76" s="444"/>
      <c r="O76" s="444"/>
      <c r="P76" s="444"/>
      <c r="Q76" s="444"/>
    </row>
    <row r="77" spans="1:17" x14ac:dyDescent="0.3">
      <c r="A77" s="446"/>
      <c r="B77" s="449"/>
      <c r="C77" s="449"/>
      <c r="D77" s="1223"/>
      <c r="E77" s="1172"/>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561">
        <v>1</v>
      </c>
      <c r="F78" s="74"/>
      <c r="G78" s="462" t="e">
        <f>IF(G62&lt;$A$6,0,IF(G62&gt;$A$44,0,VLOOKUP(H76,$A$6:$J$44,3)))</f>
        <v>#REF!</v>
      </c>
      <c r="H78" s="462" t="e">
        <f>IF(G62&lt;$A$6,0,IF(G62&gt;$A$44,0,VLOOKUP(G78,$C$6:$D$44,2)))</f>
        <v>#REF!</v>
      </c>
      <c r="I78" s="462" t="e">
        <f>IF(I62&lt;$A$6,0,IF(I62&gt;$A$44,0,VLOOKUP(J76,$A$6:$J$44,3)))</f>
        <v>#REF!</v>
      </c>
      <c r="J78" s="462" t="e">
        <f>IF(I62&lt;$A$6,0,IF(I62&gt;$A$44,0,VLOOKUP(I78,$C$6:$D$44,2)))</f>
        <v>#REF!</v>
      </c>
      <c r="K78" s="462" t="e">
        <f>IF(K62&lt;$A$6,0,IF(K62&gt;$A$44,0,VLOOKUP(L76,$A$6:$J$44,3)))</f>
        <v>#REF!</v>
      </c>
      <c r="L78" s="462" t="e">
        <f>IF(K62&lt;$A$6,0,IF(K62&gt;$A$44,0,VLOOKUP(K78,$C$6:$D$44,2)))</f>
        <v>#REF!</v>
      </c>
      <c r="M78" s="460"/>
      <c r="N78" s="444"/>
      <c r="O78" s="444"/>
      <c r="P78" s="444"/>
      <c r="Q78" s="444"/>
    </row>
    <row r="79" spans="1:17" x14ac:dyDescent="0.3">
      <c r="A79" s="446"/>
      <c r="B79" s="449"/>
      <c r="C79" s="449"/>
      <c r="D79" s="1223"/>
      <c r="E79" s="561">
        <v>2</v>
      </c>
      <c r="F79" s="74"/>
      <c r="G79" s="462" t="e">
        <f>IF(G62&lt;$A$6,0,IF(G62&gt;$A$44,0,VLOOKUP(H76,$A$6:$J$44,6)))</f>
        <v>#REF!</v>
      </c>
      <c r="H79" s="462" t="e">
        <f>IF(G62&lt;$A$6,0,IF(G62&gt;$A$44,0,VLOOKUP(G79,$F$6:$G$44,2)))</f>
        <v>#REF!</v>
      </c>
      <c r="I79" s="462" t="e">
        <f>IF(I62&lt;$A$6,0,IF(I62&gt;$A$44,0,VLOOKUP(J76,$A$6:$J$44,6)))</f>
        <v>#REF!</v>
      </c>
      <c r="J79" s="462" t="e">
        <f>IF(I62&lt;$A$6,0,IF(I62&gt;$A$44,0,VLOOKUP(I79,$F$6:$G$44,2)))</f>
        <v>#REF!</v>
      </c>
      <c r="K79" s="462" t="e">
        <f>IF(K62&lt;$A$6,0,IF(K62&gt;$A$44,0,VLOOKUP(L76,$A$6:$J$44,6)))</f>
        <v>#REF!</v>
      </c>
      <c r="L79" s="462" t="e">
        <f>IF(K62&lt;$A$6,0,IF(K62&gt;$A$44,0,VLOOKUP(K79,$F$6:$G$44,2)))</f>
        <v>#REF!</v>
      </c>
      <c r="M79" s="460"/>
      <c r="N79" s="444"/>
      <c r="O79" s="444"/>
      <c r="P79" s="444"/>
      <c r="Q79" s="444"/>
    </row>
    <row r="80" spans="1:17" x14ac:dyDescent="0.3">
      <c r="A80" s="446"/>
      <c r="B80" s="449"/>
      <c r="C80" s="449"/>
      <c r="D80" s="1224"/>
      <c r="E80" s="561">
        <v>3</v>
      </c>
      <c r="F80" s="74"/>
      <c r="G80" s="462" t="e">
        <f>IF(G62&lt;$A$6,0,IF(G62&gt;$A$44,0,VLOOKUP(H76,$A$6:$J$44,9)))</f>
        <v>#REF!</v>
      </c>
      <c r="H80" s="462" t="e">
        <f>IF(G62&lt;$A$6,0,IF(G62&gt;$A$44,0,VLOOKUP(G80,$I$6:$J$44,2)))</f>
        <v>#REF!</v>
      </c>
      <c r="I80" s="462" t="e">
        <f>IF(I62&lt;$A$6,0,IF(I62&gt;$A$44,0,VLOOKUP(J76,$A$6:$J$44,9)))</f>
        <v>#REF!</v>
      </c>
      <c r="J80" s="462" t="e">
        <f>IF(I62&lt;$A$6,0,IF(I62&gt;$A$44,0,VLOOKUP(I80,$I$6:$J$44,2)))</f>
        <v>#REF!</v>
      </c>
      <c r="K80" s="462" t="e">
        <f>IF(K62&lt;$A$6,0,IF(K62&gt;$A$44,0,VLOOKUP(L76,$A$6:$J$44,9)))</f>
        <v>#REF!</v>
      </c>
      <c r="L80" s="462" t="e">
        <f>IF(K62&lt;$A$6,0,IF(K62&gt;$A$44,0,VLOOKUP(K80,$I$6:$J$44,2)))</f>
        <v>#REF!</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t="e">
        <f>VLOOKUP(G64,E72:H74,3)</f>
        <v>#REF!</v>
      </c>
      <c r="H85" s="468" t="e">
        <f>VLOOKUP(G64,E72:H74,4)</f>
        <v>#REF!</v>
      </c>
      <c r="I85" s="468" t="e">
        <f>VLOOKUP(G64,E72:J74,5)</f>
        <v>#REF!</v>
      </c>
      <c r="J85" s="468" t="e">
        <f>VLOOKUP(G64,E72:J74,6)</f>
        <v>#REF!</v>
      </c>
      <c r="K85" s="468" t="e">
        <f>VLOOKUP(G64,E72:K74,7)</f>
        <v>#REF!</v>
      </c>
      <c r="L85" s="468" t="e">
        <f>VLOOKUP(G64,E72:L74,8)</f>
        <v>#REF!</v>
      </c>
      <c r="M85" s="469"/>
      <c r="N85" s="444"/>
      <c r="O85" s="444"/>
      <c r="P85" s="444"/>
      <c r="Q85" s="444"/>
    </row>
    <row r="86" spans="1:17" x14ac:dyDescent="0.3">
      <c r="A86" s="446"/>
      <c r="B86" s="1238" t="s">
        <v>350</v>
      </c>
      <c r="C86" s="1238"/>
      <c r="D86" s="1238"/>
      <c r="E86" s="1238"/>
      <c r="F86" s="74"/>
      <c r="G86" s="468" t="e">
        <f>VLOOKUP(G64,E78:H80,3)</f>
        <v>#REF!</v>
      </c>
      <c r="H86" s="468" t="e">
        <f>VLOOKUP(G64,E78:H80,4)</f>
        <v>#REF!</v>
      </c>
      <c r="I86" s="468" t="e">
        <f>VLOOKUP(G64,E78:J80,5)</f>
        <v>#REF!</v>
      </c>
      <c r="J86" s="468" t="e">
        <f>VLOOKUP(G64,E78:J80,6)</f>
        <v>#REF!</v>
      </c>
      <c r="K86" s="468" t="e">
        <f>VLOOKUP(G64,E78:K80,7)</f>
        <v>#REF!</v>
      </c>
      <c r="L86" s="468" t="e">
        <f>VLOOKUP(G64,E78:L80,8)</f>
        <v>#REF!</v>
      </c>
      <c r="M86" s="469"/>
      <c r="N86" s="444"/>
      <c r="O86" s="444"/>
      <c r="P86" s="444"/>
      <c r="Q86" s="444"/>
    </row>
    <row r="87" spans="1:17" x14ac:dyDescent="0.3">
      <c r="A87" s="446"/>
      <c r="B87" s="1245" t="s">
        <v>352</v>
      </c>
      <c r="C87" s="1246"/>
      <c r="D87" s="1246"/>
      <c r="E87" s="1247"/>
      <c r="F87" s="74"/>
      <c r="G87" s="470" t="e">
        <f t="shared" ref="G87:L87" si="2">G86-G85</f>
        <v>#REF!</v>
      </c>
      <c r="H87" s="470" t="e">
        <f t="shared" si="2"/>
        <v>#REF!</v>
      </c>
      <c r="I87" s="470" t="e">
        <f t="shared" si="2"/>
        <v>#REF!</v>
      </c>
      <c r="J87" s="470" t="e">
        <f t="shared" si="2"/>
        <v>#REF!</v>
      </c>
      <c r="K87" s="470" t="e">
        <f t="shared" si="2"/>
        <v>#REF!</v>
      </c>
      <c r="L87" s="470" t="e">
        <f t="shared" si="2"/>
        <v>#REF!</v>
      </c>
      <c r="M87" s="471"/>
      <c r="N87" s="444"/>
      <c r="O87" s="444"/>
      <c r="P87" s="444"/>
      <c r="Q87" s="444"/>
    </row>
    <row r="88" spans="1:17" x14ac:dyDescent="0.3">
      <c r="A88" s="446"/>
      <c r="B88" s="1238" t="s">
        <v>353</v>
      </c>
      <c r="C88" s="1238"/>
      <c r="D88" s="1238"/>
      <c r="E88" s="1238"/>
      <c r="F88" s="74"/>
      <c r="G88" s="470" t="e">
        <f>G62-H70</f>
        <v>#REF!</v>
      </c>
      <c r="H88" s="472" t="e">
        <f>G64</f>
        <v>#REF!</v>
      </c>
      <c r="I88" s="470" t="e">
        <f>I62-J70</f>
        <v>#REF!</v>
      </c>
      <c r="J88" s="472" t="e">
        <f>G64</f>
        <v>#REF!</v>
      </c>
      <c r="K88" s="470" t="e">
        <f>K62-L70</f>
        <v>#REF!</v>
      </c>
      <c r="L88" s="472" t="e">
        <f>G64</f>
        <v>#REF!</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t="e">
        <f t="shared" ref="G93:L93" si="3">G85</f>
        <v>#REF!</v>
      </c>
      <c r="H93" s="468" t="e">
        <f t="shared" si="3"/>
        <v>#REF!</v>
      </c>
      <c r="I93" s="468" t="e">
        <f t="shared" si="3"/>
        <v>#REF!</v>
      </c>
      <c r="J93" s="468" t="e">
        <f t="shared" si="3"/>
        <v>#REF!</v>
      </c>
      <c r="K93" s="468" t="e">
        <f t="shared" si="3"/>
        <v>#REF!</v>
      </c>
      <c r="L93" s="468" t="e">
        <f t="shared" si="3"/>
        <v>#REF!</v>
      </c>
      <c r="M93" s="469"/>
    </row>
    <row r="94" spans="1:17" x14ac:dyDescent="0.3">
      <c r="A94" s="446"/>
      <c r="B94" s="1238" t="s">
        <v>356</v>
      </c>
      <c r="C94" s="1238"/>
      <c r="D94" s="1238"/>
      <c r="E94" s="1238"/>
      <c r="F94" s="473"/>
      <c r="G94" s="468" t="e">
        <f>G88</f>
        <v>#REF!</v>
      </c>
      <c r="H94" s="468" t="e">
        <f>G88</f>
        <v>#REF!</v>
      </c>
      <c r="I94" s="468" t="e">
        <f>I88</f>
        <v>#REF!</v>
      </c>
      <c r="J94" s="468" t="e">
        <f>I88</f>
        <v>#REF!</v>
      </c>
      <c r="K94" s="468" t="e">
        <f>K88</f>
        <v>#REF!</v>
      </c>
      <c r="L94" s="468" t="e">
        <f>K88</f>
        <v>#REF!</v>
      </c>
      <c r="M94" s="469"/>
    </row>
    <row r="95" spans="1:17" x14ac:dyDescent="0.3">
      <c r="A95" s="446"/>
      <c r="B95" s="1238" t="s">
        <v>357</v>
      </c>
      <c r="C95" s="1238"/>
      <c r="D95" s="1238"/>
      <c r="E95" s="1238"/>
      <c r="F95" s="473"/>
      <c r="G95" s="468" t="e">
        <f t="shared" ref="G95:L95" si="4">G87</f>
        <v>#REF!</v>
      </c>
      <c r="H95" s="468" t="e">
        <f t="shared" si="4"/>
        <v>#REF!</v>
      </c>
      <c r="I95" s="468" t="e">
        <f t="shared" si="4"/>
        <v>#REF!</v>
      </c>
      <c r="J95" s="468" t="e">
        <f t="shared" si="4"/>
        <v>#REF!</v>
      </c>
      <c r="K95" s="468" t="e">
        <f t="shared" si="4"/>
        <v>#REF!</v>
      </c>
      <c r="L95" s="468" t="e">
        <f t="shared" si="4"/>
        <v>#REF!</v>
      </c>
      <c r="M95" s="469"/>
    </row>
    <row r="96" spans="1:17" x14ac:dyDescent="0.3">
      <c r="A96" s="446"/>
      <c r="B96" s="1238" t="s">
        <v>358</v>
      </c>
      <c r="C96" s="1238"/>
      <c r="D96" s="1238"/>
      <c r="E96" s="1238"/>
      <c r="F96" s="473"/>
      <c r="G96" s="468" t="e">
        <f>H76-H70</f>
        <v>#REF!</v>
      </c>
      <c r="H96" s="468" t="e">
        <f>H76-H70</f>
        <v>#REF!</v>
      </c>
      <c r="I96" s="468" t="e">
        <f>J76-J70</f>
        <v>#REF!</v>
      </c>
      <c r="J96" s="468" t="e">
        <f>J76-J70</f>
        <v>#REF!</v>
      </c>
      <c r="K96" s="468" t="e">
        <f>L76-L70</f>
        <v>#REF!</v>
      </c>
      <c r="L96" s="468" t="e">
        <f>L76-L70</f>
        <v>#REF!</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t="e">
        <f>IF(G96=0,0,G93+((G94*G95)/G96))</f>
        <v>#REF!</v>
      </c>
      <c r="I98" s="74"/>
      <c r="J98" s="476" t="e">
        <f>IF(I96=0,0,I93+((I94*I95)/I96))</f>
        <v>#REF!</v>
      </c>
      <c r="K98" s="74"/>
      <c r="L98" s="476" t="e">
        <f>IF(K96=0,0,K93+((K94*K95)/K96))</f>
        <v>#REF!</v>
      </c>
      <c r="M98" s="73"/>
    </row>
    <row r="99" spans="1:13" x14ac:dyDescent="0.3">
      <c r="A99" s="446"/>
      <c r="B99" s="394" t="s">
        <v>359</v>
      </c>
      <c r="C99" s="461"/>
      <c r="D99" s="475" t="s">
        <v>339</v>
      </c>
      <c r="E99" s="393"/>
      <c r="F99" s="469"/>
      <c r="G99" s="74"/>
      <c r="H99" s="477" t="e">
        <f>((H102-H98)*0.25)+H98</f>
        <v>#REF!</v>
      </c>
      <c r="I99" s="74"/>
      <c r="J99" s="477" t="e">
        <f>((J102-J98)*0.25)+J98</f>
        <v>#REF!</v>
      </c>
      <c r="K99" s="74"/>
      <c r="L99" s="477" t="e">
        <f>((L102-L98)*0.25)+L98</f>
        <v>#REF!</v>
      </c>
      <c r="M99" s="73"/>
    </row>
    <row r="100" spans="1:13" x14ac:dyDescent="0.3">
      <c r="A100" s="446"/>
      <c r="B100" s="394"/>
      <c r="C100" s="461"/>
      <c r="D100" s="475" t="s">
        <v>340</v>
      </c>
      <c r="E100" s="393"/>
      <c r="F100" s="469"/>
      <c r="G100" s="74"/>
      <c r="H100" s="477" t="e">
        <f>(H102+H98)/2</f>
        <v>#REF!</v>
      </c>
      <c r="I100" s="74"/>
      <c r="J100" s="477" t="e">
        <f>(J102+J98)/2</f>
        <v>#REF!</v>
      </c>
      <c r="K100" s="74"/>
      <c r="L100" s="477" t="e">
        <f>(L102+L98)/2</f>
        <v>#REF!</v>
      </c>
      <c r="M100" s="73"/>
    </row>
    <row r="101" spans="1:13" x14ac:dyDescent="0.3">
      <c r="A101" s="446"/>
      <c r="B101" s="394" t="s">
        <v>360</v>
      </c>
      <c r="C101" s="461"/>
      <c r="D101" s="475" t="s">
        <v>341</v>
      </c>
      <c r="E101" s="393"/>
      <c r="F101" s="469"/>
      <c r="G101" s="74"/>
      <c r="H101" s="477" t="e">
        <f>((H102-H98)*0.75)+H98</f>
        <v>#REF!</v>
      </c>
      <c r="I101" s="74"/>
      <c r="J101" s="477" t="e">
        <f>((J102-J98)*0.75)+J98</f>
        <v>#REF!</v>
      </c>
      <c r="K101" s="74"/>
      <c r="L101" s="477" t="e">
        <f>((L102-L98)*0.75)+L98</f>
        <v>#REF!</v>
      </c>
      <c r="M101" s="73"/>
    </row>
    <row r="102" spans="1:13" ht="15.2" thickBot="1" x14ac:dyDescent="0.35">
      <c r="A102" s="446"/>
      <c r="B102" s="395"/>
      <c r="C102" s="461"/>
      <c r="D102" s="475" t="s">
        <v>342</v>
      </c>
      <c r="E102" s="393"/>
      <c r="F102" s="469"/>
      <c r="G102" s="74"/>
      <c r="H102" s="478" t="e">
        <f>IF(H96=0,0,H93+((H94*H95)/H96))</f>
        <v>#REF!</v>
      </c>
      <c r="I102" s="74"/>
      <c r="J102" s="478" t="e">
        <f>IF(J96=0,0,J93+((J94*J95)/J96))</f>
        <v>#REF!</v>
      </c>
      <c r="K102" s="74"/>
      <c r="L102" s="478" t="e">
        <f>IF(L96=0,0,L93+((L94*L95)/L96))</f>
        <v>#REF!</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t="e">
        <f>G64</f>
        <v>#REF!</v>
      </c>
      <c r="H105" s="480" t="e">
        <f>IF(G65="Basishonorarsatz",H98,IF(G65="Viertelsatz",H99,IF(G65="Mittelsatz",H100,IF(G65="Dreiviertelsatz",H101,H102))))</f>
        <v>#REF!</v>
      </c>
      <c r="I105" s="481" t="e">
        <f>G64</f>
        <v>#REF!</v>
      </c>
      <c r="J105" s="480" t="e">
        <f>IF(G65="Basishonorarsatz",J98,IF(G65="Viertelsatz",J99,IF(G65="Mittelsatz",J100,IF(G65="Dreiviertelsatz",J101,J102))))</f>
        <v>#REF!</v>
      </c>
      <c r="K105" s="481" t="e">
        <f>G64</f>
        <v>#REF!</v>
      </c>
      <c r="L105" s="480" t="e">
        <f>IF(G65="Basishonorarsatz",L98,IF(G65="Viertelsatz",L99,IF(G65="Mittelsatz",L100,IF(G65="Dreiviertelsatz",L101,L102))))</f>
        <v>#REF!</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t="e">
        <f>IF(#REF!="ja",#REF!,0)</f>
        <v>#REF!</v>
      </c>
      <c r="D109" s="1273"/>
      <c r="E109" s="1272" t="e">
        <f>IF(#REF!="ja",#REF!,0)</f>
        <v>#REF!</v>
      </c>
      <c r="F109" s="1273"/>
      <c r="G109" s="490" t="e">
        <f>C109*1.1+E109</f>
        <v>#REF!</v>
      </c>
    </row>
    <row r="110" spans="1:13" x14ac:dyDescent="0.3">
      <c r="B110" s="491">
        <v>2</v>
      </c>
      <c r="C110" s="1158" t="e">
        <f>IF(#REF!="ja",#REF!,0)</f>
        <v>#REF!</v>
      </c>
      <c r="D110" s="1159"/>
      <c r="E110" s="1158" t="e">
        <f>IF(#REF!="ja",#REF!,0)</f>
        <v>#REF!</v>
      </c>
      <c r="F110" s="1159"/>
      <c r="G110" s="490" t="e">
        <f t="shared" ref="G110:G122" si="5">C110*1.1+E110</f>
        <v>#REF!</v>
      </c>
    </row>
    <row r="111" spans="1:13" x14ac:dyDescent="0.3">
      <c r="B111" s="491">
        <v>3</v>
      </c>
      <c r="C111" s="1158" t="e">
        <f>IF(#REF!="ja",#REF!,0)</f>
        <v>#REF!</v>
      </c>
      <c r="D111" s="1159"/>
      <c r="E111" s="1158" t="e">
        <f>IF(#REF!="ja",#REF!,0)</f>
        <v>#REF!</v>
      </c>
      <c r="F111" s="1159"/>
      <c r="G111" s="490" t="e">
        <f t="shared" si="5"/>
        <v>#REF!</v>
      </c>
    </row>
    <row r="112" spans="1:13" x14ac:dyDescent="0.3">
      <c r="B112" s="491">
        <v>4</v>
      </c>
      <c r="C112" s="1158" t="e">
        <f>IF(#REF!="ja",#REF!,0)</f>
        <v>#REF!</v>
      </c>
      <c r="D112" s="1159"/>
      <c r="E112" s="1158" t="e">
        <f>IF(#REF!="ja",#REF!,0)</f>
        <v>#REF!</v>
      </c>
      <c r="F112" s="1159"/>
      <c r="G112" s="490" t="e">
        <f t="shared" si="5"/>
        <v>#REF!</v>
      </c>
    </row>
    <row r="113" spans="2:8" x14ac:dyDescent="0.3">
      <c r="B113" s="491" t="s">
        <v>371</v>
      </c>
      <c r="C113" s="1158" t="e">
        <f>IF(#REF!="ja",#REF!,0)</f>
        <v>#REF!</v>
      </c>
      <c r="D113" s="1159"/>
      <c r="E113" s="1158" t="e">
        <f>IF(#REF!="ja",#REF!,0)</f>
        <v>#REF!</v>
      </c>
      <c r="F113" s="1159"/>
      <c r="G113" s="490" t="e">
        <f t="shared" si="5"/>
        <v>#REF!</v>
      </c>
    </row>
    <row r="114" spans="2:8" x14ac:dyDescent="0.3">
      <c r="B114" s="491" t="s">
        <v>372</v>
      </c>
      <c r="C114" s="1158" t="e">
        <f>IF(#REF!="ja",#REF!,0)</f>
        <v>#REF!</v>
      </c>
      <c r="D114" s="1159"/>
      <c r="E114" s="1158" t="e">
        <f>IF(#REF!="ja",#REF!+#REF!+#REF!+#REF!,0)</f>
        <v>#REF!</v>
      </c>
      <c r="F114" s="1159"/>
      <c r="G114" s="490" t="e">
        <f t="shared" si="5"/>
        <v>#REF!</v>
      </c>
    </row>
    <row r="115" spans="2:8" x14ac:dyDescent="0.3">
      <c r="B115" s="491" t="s">
        <v>373</v>
      </c>
      <c r="C115" s="1158" t="e">
        <f>IF(#REF!="Ja",#REF!,0)</f>
        <v>#REF!</v>
      </c>
      <c r="D115" s="1159"/>
      <c r="E115" s="1158" t="e">
        <f>IF(#REF!="Ja",#REF!,0)</f>
        <v>#REF!</v>
      </c>
      <c r="F115" s="1159"/>
      <c r="G115" s="490" t="e">
        <f t="shared" si="5"/>
        <v>#REF!</v>
      </c>
    </row>
    <row r="116" spans="2:8" x14ac:dyDescent="0.3">
      <c r="B116" s="491" t="s">
        <v>374</v>
      </c>
      <c r="C116" s="1158" t="e">
        <f>IF(#REF!="ja",#REF!,0)</f>
        <v>#REF!</v>
      </c>
      <c r="D116" s="1159"/>
      <c r="E116" s="1158" t="e">
        <f>IF(#REF!="ja",#REF!,0)</f>
        <v>#REF!</v>
      </c>
      <c r="F116" s="1159"/>
      <c r="G116" s="490" t="e">
        <f t="shared" si="5"/>
        <v>#REF!</v>
      </c>
    </row>
    <row r="117" spans="2:8" x14ac:dyDescent="0.3">
      <c r="B117" s="491" t="s">
        <v>375</v>
      </c>
      <c r="C117" s="1158" t="e">
        <f>IF(#REF!="ja",#REF!,0)</f>
        <v>#REF!</v>
      </c>
      <c r="D117" s="1159"/>
      <c r="E117" s="1158" t="e">
        <f>IF(#REF!="ja",#REF!+#REF!,0)</f>
        <v>#REF!</v>
      </c>
      <c r="F117" s="1159"/>
      <c r="G117" s="490" t="e">
        <f t="shared" si="5"/>
        <v>#REF!</v>
      </c>
    </row>
    <row r="118" spans="2:8" x14ac:dyDescent="0.3">
      <c r="B118" s="491" t="s">
        <v>376</v>
      </c>
      <c r="C118" s="1158" t="e">
        <f>IF(#REF!="ja",#REF!,0)</f>
        <v>#REF!</v>
      </c>
      <c r="D118" s="1159"/>
      <c r="E118" s="1158" t="e">
        <f>IF(#REF!="ja",#REF!,0)</f>
        <v>#REF!</v>
      </c>
      <c r="F118" s="1159"/>
      <c r="G118" s="490" t="e">
        <f t="shared" si="5"/>
        <v>#REF!</v>
      </c>
    </row>
    <row r="119" spans="2:8" x14ac:dyDescent="0.3">
      <c r="B119" s="492">
        <v>6</v>
      </c>
      <c r="C119" s="1158" t="e">
        <f>IF(#REF!="ja",#REF!,0)</f>
        <v>#REF!</v>
      </c>
      <c r="D119" s="1159"/>
      <c r="E119" s="1158" t="e">
        <f>IF(#REF!="ja",#REF!,0)</f>
        <v>#REF!</v>
      </c>
      <c r="F119" s="1159"/>
      <c r="G119" s="490" t="e">
        <f t="shared" si="5"/>
        <v>#REF!</v>
      </c>
    </row>
    <row r="120" spans="2:8" x14ac:dyDescent="0.3">
      <c r="B120" s="492">
        <v>7</v>
      </c>
      <c r="C120" s="1158" t="e">
        <f>IF(#REF!="ja",#REF!,0)</f>
        <v>#REF!</v>
      </c>
      <c r="D120" s="1159"/>
      <c r="E120" s="1158" t="e">
        <f>IF(#REF!="ja",#REF!,0)</f>
        <v>#REF!</v>
      </c>
      <c r="F120" s="1159"/>
      <c r="G120" s="490" t="e">
        <f t="shared" si="5"/>
        <v>#REF!</v>
      </c>
    </row>
    <row r="121" spans="2:8" x14ac:dyDescent="0.3">
      <c r="B121" s="492">
        <v>8</v>
      </c>
      <c r="C121" s="1158" t="e">
        <f>IF(#REF!="ja",#REF!,0)</f>
        <v>#REF!</v>
      </c>
      <c r="D121" s="1159"/>
      <c r="E121" s="1158" t="e">
        <f>IF(#REF!="ja",#REF!,0)</f>
        <v>#REF!</v>
      </c>
      <c r="F121" s="1159"/>
      <c r="G121" s="490" t="e">
        <f t="shared" si="5"/>
        <v>#REF!</v>
      </c>
    </row>
    <row r="122" spans="2:8" ht="15.2" thickBot="1" x14ac:dyDescent="0.35">
      <c r="B122" s="493">
        <v>9</v>
      </c>
      <c r="C122" s="1158" t="e">
        <f>IF(#REF!="ja",#REF!,0)</f>
        <v>#REF!</v>
      </c>
      <c r="D122" s="1159"/>
      <c r="E122" s="1158" t="e">
        <f>IF(#REF!="ja",#REF!,0)</f>
        <v>#REF!</v>
      </c>
      <c r="F122" s="1159"/>
      <c r="G122" s="490" t="e">
        <f t="shared" si="5"/>
        <v>#REF!</v>
      </c>
    </row>
    <row r="123" spans="2:8" ht="15.2" thickBot="1" x14ac:dyDescent="0.35">
      <c r="B123" s="494" t="s">
        <v>476</v>
      </c>
      <c r="C123" s="1266" t="e">
        <f>SUM(C109:D122)</f>
        <v>#REF!</v>
      </c>
      <c r="D123" s="1266"/>
      <c r="E123" s="1266" t="e">
        <f>SUM(E109:F122)</f>
        <v>#REF!</v>
      </c>
      <c r="F123" s="1266"/>
      <c r="G123" s="563" t="e">
        <f>SUM(G109:H122)</f>
        <v>#REF!</v>
      </c>
      <c r="H123" s="564"/>
    </row>
    <row r="124" spans="2:8" ht="15.2" thickBot="1" x14ac:dyDescent="0.35"/>
    <row r="125" spans="2:8" ht="15.2" thickBot="1" x14ac:dyDescent="0.35">
      <c r="B125" s="495" t="s">
        <v>477</v>
      </c>
      <c r="C125" s="1250" t="e">
        <f>C123*#REF!+C123</f>
        <v>#REF!</v>
      </c>
      <c r="D125" s="1251"/>
    </row>
    <row r="126" spans="2:8" ht="15.2" thickBot="1" x14ac:dyDescent="0.35"/>
    <row r="127" spans="2:8" ht="15.2" thickBot="1" x14ac:dyDescent="0.35">
      <c r="B127" s="495" t="s">
        <v>380</v>
      </c>
      <c r="C127" s="1250" t="e">
        <f>#REF!</f>
        <v>#REF!</v>
      </c>
      <c r="D127" s="1251"/>
      <c r="E127" s="1250" t="e">
        <f>#REF!</f>
        <v>#REF!</v>
      </c>
      <c r="F127" s="1251"/>
    </row>
    <row r="128" spans="2:8" ht="15.2" thickBot="1" x14ac:dyDescent="0.35"/>
    <row r="129" spans="2:17" ht="31.6" customHeight="1" thickBot="1" x14ac:dyDescent="0.35">
      <c r="B129" s="565" t="s">
        <v>478</v>
      </c>
      <c r="C129" s="1250" t="e">
        <f>C127*#REF!+C127</f>
        <v>#REF!</v>
      </c>
      <c r="D129" s="1251"/>
      <c r="E129" s="566"/>
      <c r="F129" s="514"/>
    </row>
    <row r="131" spans="2:17" x14ac:dyDescent="0.3">
      <c r="B131" s="384" t="s">
        <v>479</v>
      </c>
      <c r="D131" s="496">
        <f>Überblick!G97</f>
        <v>0.19</v>
      </c>
    </row>
    <row r="132" spans="2:17" ht="15.2" thickBot="1" x14ac:dyDescent="0.35"/>
    <row r="133" spans="2:17" ht="15.2" thickBot="1" x14ac:dyDescent="0.35">
      <c r="B133" s="495" t="s">
        <v>478</v>
      </c>
      <c r="C133" s="1250" t="e">
        <f>C129*D131+C129</f>
        <v>#REF!</v>
      </c>
      <c r="D133" s="1251"/>
      <c r="E133" s="1250" t="e">
        <f>E127*D131+E127</f>
        <v>#REF!</v>
      </c>
      <c r="F133" s="1251"/>
    </row>
    <row r="135" spans="2:17" x14ac:dyDescent="0.3">
      <c r="B135" s="384" t="s">
        <v>480</v>
      </c>
      <c r="E135" s="1248" t="e">
        <f>C133+E133</f>
        <v>#REF!</v>
      </c>
      <c r="F135" s="1249"/>
    </row>
    <row r="136" spans="2:17" ht="15.2" thickBot="1" x14ac:dyDescent="0.35"/>
    <row r="137" spans="2:17" ht="15.2" thickBot="1" x14ac:dyDescent="0.35">
      <c r="B137" s="544" t="s">
        <v>115</v>
      </c>
      <c r="C137" s="567" t="s">
        <v>306</v>
      </c>
      <c r="D137" s="568" t="s">
        <v>307</v>
      </c>
      <c r="E137" s="568" t="s">
        <v>308</v>
      </c>
      <c r="F137" s="568" t="s">
        <v>309</v>
      </c>
      <c r="G137" s="568" t="s">
        <v>310</v>
      </c>
      <c r="H137" s="568" t="s">
        <v>311</v>
      </c>
      <c r="I137" s="568" t="s">
        <v>312</v>
      </c>
      <c r="J137" s="568" t="s">
        <v>313</v>
      </c>
      <c r="K137" s="568" t="s">
        <v>314</v>
      </c>
      <c r="L137" s="568" t="s">
        <v>315</v>
      </c>
      <c r="M137" s="568" t="s">
        <v>316</v>
      </c>
      <c r="N137" s="568" t="s">
        <v>317</v>
      </c>
      <c r="O137" s="568" t="s">
        <v>318</v>
      </c>
      <c r="P137" s="568" t="s">
        <v>379</v>
      </c>
      <c r="Q137" s="569" t="s">
        <v>380</v>
      </c>
    </row>
    <row r="138" spans="2:17" x14ac:dyDescent="0.3">
      <c r="B138" s="570">
        <f>IF(Überblick!$H$53&gt;=1,1,"")</f>
        <v>1</v>
      </c>
      <c r="C138" s="503" t="e">
        <f>IF($B138=#REF!,#REF!*#REF!+#REF!+#REF!,0)</f>
        <v>#REF!</v>
      </c>
      <c r="D138" s="503" t="e">
        <f>IF($B138=#REF!,#REF!*#REF!+#REF!+#REF!,0)</f>
        <v>#REF!</v>
      </c>
      <c r="E138" s="503" t="e">
        <f>IF($B138=#REF!,#REF!*#REF!+#REF!+#REF!,0)</f>
        <v>#REF!</v>
      </c>
      <c r="F138" s="503" t="e">
        <f>IF($B138=#REF!,#REF!*#REF!+#REF!+#REF!,0)</f>
        <v>#REF!</v>
      </c>
      <c r="G138" s="503" t="e">
        <f>IF($B138=#REF!,#REF!*#REF!+#REF!+#REF!+#REF!,0)</f>
        <v>#REF!</v>
      </c>
      <c r="H138" s="503" t="e">
        <f>IF($B138=#REF!,#REF!*#REF!+#REF!+#REF!+#REF!+#REF!+#REF!,0)</f>
        <v>#REF!</v>
      </c>
      <c r="I138" s="503" t="e">
        <f>IF($B138=#REF!,#REF!*#REF!+#REF!+#REF!,0)</f>
        <v>#REF!</v>
      </c>
      <c r="J138" s="503" t="e">
        <f>IF($B138=#REF!,#REF!*#REF!+#REF!+#REF!,0)</f>
        <v>#REF!</v>
      </c>
      <c r="K138" s="503" t="e">
        <f>IF($B138=#REF!,#REF!*#REF!+#REF!+#REF!+#REF!,0)</f>
        <v>#REF!</v>
      </c>
      <c r="L138" s="503" t="e">
        <f>IF($B138=#REF!,#REF!*#REF!+#REF!+#REF!,0)</f>
        <v>#REF!</v>
      </c>
      <c r="M138" s="503" t="e">
        <f>IF($B138=#REF!,#REF!*#REF!+#REF!+#REF!,0)</f>
        <v>#REF!</v>
      </c>
      <c r="N138" s="503" t="e">
        <f>IF($B138=#REF!,#REF!*#REF!+#REF!+#REF!,0)</f>
        <v>#REF!</v>
      </c>
      <c r="O138" s="503" t="e">
        <f>IF($B138=#REF!,#REF!*#REF!+#REF!+#REF!,0)</f>
        <v>#REF!</v>
      </c>
      <c r="P138" s="503" t="e">
        <f>IF($B138=#REF!,#REF!*#REF!+#REF!+#REF!,0)</f>
        <v>#REF!</v>
      </c>
      <c r="Q138" s="504" t="e">
        <f>SUM(C138:P138)</f>
        <v>#REF!</v>
      </c>
    </row>
    <row r="139" spans="2:17" x14ac:dyDescent="0.3">
      <c r="B139" s="571">
        <f>IF(Überblick!$H$53&gt;=2,2,"")</f>
        <v>2</v>
      </c>
      <c r="C139" s="507" t="e">
        <f>IF($B139=#REF!,#REF!*#REF!+#REF!+#REF!,0)</f>
        <v>#REF!</v>
      </c>
      <c r="D139" s="507" t="e">
        <f>IF($B139=#REF!,#REF!*#REF!+#REF!+#REF!,0)</f>
        <v>#REF!</v>
      </c>
      <c r="E139" s="507" t="e">
        <f>IF($B139=#REF!,#REF!*#REF!+#REF!+#REF!,0)</f>
        <v>#REF!</v>
      </c>
      <c r="F139" s="507" t="e">
        <f>IF($B139=#REF!,#REF!*#REF!+#REF!+#REF!,0)</f>
        <v>#REF!</v>
      </c>
      <c r="G139" s="507" t="e">
        <f>IF($B139=#REF!,#REF!*#REF!+#REF!+#REF!+#REF!,0)</f>
        <v>#REF!</v>
      </c>
      <c r="H139" s="507" t="e">
        <f>IF($B139=#REF!,#REF!*#REF!+#REF!+#REF!+#REF!+#REF!+#REF!,0)</f>
        <v>#REF!</v>
      </c>
      <c r="I139" s="507" t="e">
        <f>IF($B139=#REF!,#REF!*#REF!+#REF!+#REF!,0)</f>
        <v>#REF!</v>
      </c>
      <c r="J139" s="507" t="e">
        <f>IF($B139=#REF!,#REF!*#REF!+#REF!+#REF!,0)</f>
        <v>#REF!</v>
      </c>
      <c r="K139" s="507" t="e">
        <f>IF($B139=#REF!,#REF!*#REF!+#REF!+#REF!+#REF!,0)</f>
        <v>#REF!</v>
      </c>
      <c r="L139" s="507" t="e">
        <f>IF($B139=#REF!,#REF!*#REF!+#REF!+#REF!,0)</f>
        <v>#REF!</v>
      </c>
      <c r="M139" s="507" t="e">
        <f>IF($B139=#REF!,#REF!*#REF!+#REF!+#REF!,0)</f>
        <v>#REF!</v>
      </c>
      <c r="N139" s="507" t="e">
        <f>IF($B139=#REF!,#REF!*#REF!+#REF!+#REF!,0)</f>
        <v>#REF!</v>
      </c>
      <c r="O139" s="507" t="e">
        <f>IF($B139=#REF!,#REF!*#REF!+#REF!+#REF!,0)</f>
        <v>#REF!</v>
      </c>
      <c r="P139" s="507" t="e">
        <f>IF($B139=#REF!,#REF!*#REF!+#REF!+#REF!,0)</f>
        <v>#REF!</v>
      </c>
      <c r="Q139" s="508" t="e">
        <f t="shared" ref="Q139:Q145" si="6">SUM(C139:P139)</f>
        <v>#REF!</v>
      </c>
    </row>
    <row r="140" spans="2:17" x14ac:dyDescent="0.3">
      <c r="B140" s="571">
        <f>IF(Überblick!$H$53&gt;=3,3,"")</f>
        <v>3</v>
      </c>
      <c r="C140" s="507" t="e">
        <f>IF($B140=#REF!,#REF!*#REF!+#REF!+#REF!,0)</f>
        <v>#REF!</v>
      </c>
      <c r="D140" s="507" t="e">
        <f>IF($B140=#REF!,#REF!*#REF!+#REF!+#REF!,0)</f>
        <v>#REF!</v>
      </c>
      <c r="E140" s="507" t="e">
        <f>IF($B140=#REF!,#REF!*#REF!+#REF!+#REF!,0)</f>
        <v>#REF!</v>
      </c>
      <c r="F140" s="507" t="e">
        <f>IF($B140=#REF!,#REF!*#REF!+#REF!+#REF!,0)</f>
        <v>#REF!</v>
      </c>
      <c r="G140" s="507" t="e">
        <f>IF($B140=#REF!,#REF!*#REF!+#REF!+#REF!+#REF!,0)</f>
        <v>#REF!</v>
      </c>
      <c r="H140" s="507" t="e">
        <f>IF($B140=#REF!,#REF!*#REF!+#REF!+#REF!+#REF!+#REF!+#REF!,0)</f>
        <v>#REF!</v>
      </c>
      <c r="I140" s="507" t="e">
        <f>IF($B140=#REF!,#REF!*#REF!+#REF!+#REF!,0)</f>
        <v>#REF!</v>
      </c>
      <c r="J140" s="507" t="e">
        <f>IF($B140=#REF!,#REF!*#REF!+#REF!+#REF!,0)</f>
        <v>#REF!</v>
      </c>
      <c r="K140" s="507" t="e">
        <f>IF($B140=#REF!,#REF!*#REF!+#REF!+#REF!+#REF!,0)</f>
        <v>#REF!</v>
      </c>
      <c r="L140" s="507" t="e">
        <f>IF($B140=#REF!,#REF!*#REF!+#REF!+#REF!,0)</f>
        <v>#REF!</v>
      </c>
      <c r="M140" s="507" t="e">
        <f>IF($B140=#REF!,#REF!*#REF!+#REF!+#REF!,0)</f>
        <v>#REF!</v>
      </c>
      <c r="N140" s="507" t="e">
        <f>IF($B140=#REF!,#REF!*#REF!+#REF!+#REF!,0)</f>
        <v>#REF!</v>
      </c>
      <c r="O140" s="507" t="e">
        <f>IF($B140=#REF!,#REF!*#REF!+#REF!+#REF!,0)</f>
        <v>#REF!</v>
      </c>
      <c r="P140" s="507" t="e">
        <f>IF($B140=#REF!,#REF!*#REF!+#REF!+#REF!,0)</f>
        <v>#REF!</v>
      </c>
      <c r="Q140" s="508" t="e">
        <f t="shared" si="6"/>
        <v>#REF!</v>
      </c>
    </row>
    <row r="141" spans="2:17" x14ac:dyDescent="0.3">
      <c r="B141" s="571" t="str">
        <f>IF(Überblick!$H$53&gt;=4,4,"")</f>
        <v/>
      </c>
      <c r="C141" s="507" t="e">
        <f>IF($B141=#REF!,#REF!*#REF!+#REF!+#REF!,0)</f>
        <v>#REF!</v>
      </c>
      <c r="D141" s="507" t="e">
        <f>IF($B141=#REF!,#REF!*#REF!+#REF!+#REF!,0)</f>
        <v>#REF!</v>
      </c>
      <c r="E141" s="507" t="e">
        <f>IF($B141=#REF!,#REF!*#REF!+#REF!+#REF!,0)</f>
        <v>#REF!</v>
      </c>
      <c r="F141" s="507" t="e">
        <f>IF($B141=#REF!,#REF!*#REF!+#REF!+#REF!,0)</f>
        <v>#REF!</v>
      </c>
      <c r="G141" s="507" t="e">
        <f>IF($B141=#REF!,#REF!*#REF!+#REF!+#REF!+#REF!,0)</f>
        <v>#REF!</v>
      </c>
      <c r="H141" s="507" t="e">
        <f>IF($B141=#REF!,#REF!*#REF!+#REF!+#REF!+#REF!+#REF!+#REF!,0)</f>
        <v>#REF!</v>
      </c>
      <c r="I141" s="507" t="e">
        <f>IF($B141=#REF!,#REF!*#REF!+#REF!+#REF!,0)</f>
        <v>#REF!</v>
      </c>
      <c r="J141" s="507" t="e">
        <f>IF($B141=#REF!,#REF!*#REF!+#REF!+#REF!,0)</f>
        <v>#REF!</v>
      </c>
      <c r="K141" s="507" t="e">
        <f>IF($B141=#REF!,#REF!*#REF!+#REF!+#REF!+#REF!,0)</f>
        <v>#REF!</v>
      </c>
      <c r="L141" s="507" t="e">
        <f>IF($B141=#REF!,#REF!*#REF!+#REF!+#REF!,0)</f>
        <v>#REF!</v>
      </c>
      <c r="M141" s="507" t="e">
        <f>IF($B141=#REF!,#REF!*#REF!+#REF!+#REF!,0)</f>
        <v>#REF!</v>
      </c>
      <c r="N141" s="507" t="e">
        <f>IF($B141=#REF!,#REF!*#REF!+#REF!+#REF!,0)</f>
        <v>#REF!</v>
      </c>
      <c r="O141" s="507" t="e">
        <f>IF($B141=#REF!,#REF!*#REF!+#REF!+#REF!,0)</f>
        <v>#REF!</v>
      </c>
      <c r="P141" s="507" t="e">
        <f>IF($B141=#REF!,#REF!*#REF!+#REF!+#REF!,0)</f>
        <v>#REF!</v>
      </c>
      <c r="Q141" s="508" t="e">
        <f t="shared" si="6"/>
        <v>#REF!</v>
      </c>
    </row>
    <row r="142" spans="2:17" x14ac:dyDescent="0.3">
      <c r="B142" s="571" t="str">
        <f>IF(Überblick!$H$53&gt;=5,5,"")</f>
        <v/>
      </c>
      <c r="C142" s="507" t="e">
        <f>IF($B142=#REF!,#REF!*#REF!+#REF!+#REF!,0)</f>
        <v>#REF!</v>
      </c>
      <c r="D142" s="507" t="e">
        <f>IF($B142=#REF!,#REF!*#REF!+#REF!+#REF!,0)</f>
        <v>#REF!</v>
      </c>
      <c r="E142" s="507" t="e">
        <f>IF($B142=#REF!,#REF!*#REF!+#REF!+#REF!,0)</f>
        <v>#REF!</v>
      </c>
      <c r="F142" s="507" t="e">
        <f>IF($B142=#REF!,#REF!*#REF!+#REF!+#REF!,0)</f>
        <v>#REF!</v>
      </c>
      <c r="G142" s="507" t="e">
        <f>IF($B142=#REF!,#REF!*#REF!+#REF!+#REF!+#REF!,0)</f>
        <v>#REF!</v>
      </c>
      <c r="H142" s="507" t="e">
        <f>IF($B142=#REF!,#REF!*#REF!+#REF!+#REF!+#REF!+#REF!+#REF!,0)</f>
        <v>#REF!</v>
      </c>
      <c r="I142" s="507" t="e">
        <f>IF($B142=#REF!,#REF!*#REF!+#REF!+#REF!,0)</f>
        <v>#REF!</v>
      </c>
      <c r="J142" s="507" t="e">
        <f>IF($B142=#REF!,#REF!*#REF!+#REF!+#REF!,0)</f>
        <v>#REF!</v>
      </c>
      <c r="K142" s="507" t="e">
        <f>IF($B142=#REF!,#REF!*#REF!+#REF!+#REF!+#REF!,0)</f>
        <v>#REF!</v>
      </c>
      <c r="L142" s="507" t="e">
        <f>IF($B142=#REF!,#REF!*#REF!+#REF!+#REF!,0)</f>
        <v>#REF!</v>
      </c>
      <c r="M142" s="507" t="e">
        <f>IF($B142=#REF!,#REF!*#REF!+#REF!+#REF!,0)</f>
        <v>#REF!</v>
      </c>
      <c r="N142" s="507" t="e">
        <f>IF($B142=#REF!,#REF!*#REF!+#REF!+#REF!,0)</f>
        <v>#REF!</v>
      </c>
      <c r="O142" s="507" t="e">
        <f>IF($B142=#REF!,#REF!*#REF!+#REF!+#REF!,0)</f>
        <v>#REF!</v>
      </c>
      <c r="P142" s="507" t="e">
        <f>IF($B142=#REF!,#REF!*#REF!+#REF!+#REF!,0)</f>
        <v>#REF!</v>
      </c>
      <c r="Q142" s="508" t="e">
        <f t="shared" si="6"/>
        <v>#REF!</v>
      </c>
    </row>
    <row r="143" spans="2:17" x14ac:dyDescent="0.3">
      <c r="B143" s="571" t="str">
        <f>IF(Überblick!$H$53&gt;=6,6,"")</f>
        <v/>
      </c>
      <c r="C143" s="507" t="e">
        <f>IF($B143=#REF!,#REF!*#REF!+#REF!+#REF!,0)</f>
        <v>#REF!</v>
      </c>
      <c r="D143" s="507" t="e">
        <f>IF($B143=#REF!,#REF!*#REF!+#REF!+#REF!,0)</f>
        <v>#REF!</v>
      </c>
      <c r="E143" s="507" t="e">
        <f>IF($B143=#REF!,#REF!*#REF!+#REF!+#REF!,0)</f>
        <v>#REF!</v>
      </c>
      <c r="F143" s="507" t="e">
        <f>IF($B143=#REF!,#REF!*#REF!+#REF!+#REF!,0)</f>
        <v>#REF!</v>
      </c>
      <c r="G143" s="507" t="e">
        <f>IF($B143=#REF!,#REF!*#REF!+#REF!+#REF!+#REF!,0)</f>
        <v>#REF!</v>
      </c>
      <c r="H143" s="507" t="e">
        <f>IF($B143=#REF!,#REF!*#REF!+#REF!+#REF!+#REF!+#REF!+#REF!,0)</f>
        <v>#REF!</v>
      </c>
      <c r="I143" s="507" t="e">
        <f>IF($B143=#REF!,#REF!*#REF!+#REF!+#REF!,0)</f>
        <v>#REF!</v>
      </c>
      <c r="J143" s="507" t="e">
        <f>IF($B143=#REF!,#REF!*#REF!+#REF!+#REF!,0)</f>
        <v>#REF!</v>
      </c>
      <c r="K143" s="507" t="e">
        <f>IF($B143=#REF!,#REF!*#REF!+#REF!+#REF!+#REF!,0)</f>
        <v>#REF!</v>
      </c>
      <c r="L143" s="507" t="e">
        <f>IF($B143=#REF!,#REF!*#REF!+#REF!+#REF!,0)</f>
        <v>#REF!</v>
      </c>
      <c r="M143" s="507" t="e">
        <f>IF($B143=#REF!,#REF!*#REF!+#REF!+#REF!,0)</f>
        <v>#REF!</v>
      </c>
      <c r="N143" s="507" t="e">
        <f>IF($B143=#REF!,#REF!*#REF!+#REF!+#REF!,0)</f>
        <v>#REF!</v>
      </c>
      <c r="O143" s="507" t="e">
        <f>IF($B143=#REF!,#REF!*#REF!+#REF!+#REF!,0)</f>
        <v>#REF!</v>
      </c>
      <c r="P143" s="507" t="e">
        <f>IF($B143=#REF!,#REF!*#REF!+#REF!+#REF!,0)</f>
        <v>#REF!</v>
      </c>
      <c r="Q143" s="508" t="e">
        <f t="shared" si="6"/>
        <v>#REF!</v>
      </c>
    </row>
    <row r="144" spans="2:17" x14ac:dyDescent="0.3">
      <c r="B144" s="571" t="str">
        <f>IF(Überblick!$H$53&gt;=7,7,"")</f>
        <v/>
      </c>
      <c r="C144" s="507" t="e">
        <f>IF($B144=#REF!,#REF!*#REF!+#REF!+#REF!,0)</f>
        <v>#REF!</v>
      </c>
      <c r="D144" s="507" t="e">
        <f>IF($B144=#REF!,#REF!*#REF!+#REF!+#REF!,0)</f>
        <v>#REF!</v>
      </c>
      <c r="E144" s="507" t="e">
        <f>IF($B144=#REF!,#REF!*#REF!+#REF!+#REF!,0)</f>
        <v>#REF!</v>
      </c>
      <c r="F144" s="507" t="e">
        <f>IF($B144=#REF!,#REF!*#REF!+#REF!+#REF!,0)</f>
        <v>#REF!</v>
      </c>
      <c r="G144" s="507" t="e">
        <f>IF($B144=#REF!,#REF!*#REF!+#REF!+#REF!+#REF!,0)</f>
        <v>#REF!</v>
      </c>
      <c r="H144" s="507" t="e">
        <f>IF($B144=#REF!,#REF!*#REF!+#REF!+#REF!+#REF!+#REF!+#REF!,0)</f>
        <v>#REF!</v>
      </c>
      <c r="I144" s="507" t="e">
        <f>IF($B144=#REF!,#REF!*#REF!+#REF!+#REF!,0)</f>
        <v>#REF!</v>
      </c>
      <c r="J144" s="507" t="e">
        <f>IF($B144=#REF!,#REF!*#REF!+#REF!+#REF!,0)</f>
        <v>#REF!</v>
      </c>
      <c r="K144" s="507" t="e">
        <f>IF($B144=#REF!,#REF!*#REF!+#REF!+#REF!+#REF!,0)</f>
        <v>#REF!</v>
      </c>
      <c r="L144" s="507" t="e">
        <f>IF($B144=#REF!,#REF!*#REF!+#REF!+#REF!,0)</f>
        <v>#REF!</v>
      </c>
      <c r="M144" s="507" t="e">
        <f>IF($B144=#REF!,#REF!*#REF!+#REF!+#REF!,0)</f>
        <v>#REF!</v>
      </c>
      <c r="N144" s="507" t="e">
        <f>IF($B144=#REF!,#REF!*#REF!+#REF!+#REF!,0)</f>
        <v>#REF!</v>
      </c>
      <c r="O144" s="507" t="e">
        <f>IF($B144=#REF!,#REF!*#REF!+#REF!+#REF!,0)</f>
        <v>#REF!</v>
      </c>
      <c r="P144" s="507" t="e">
        <f>IF($B144=#REF!,#REF!*#REF!+#REF!+#REF!,0)</f>
        <v>#REF!</v>
      </c>
      <c r="Q144" s="508" t="e">
        <f t="shared" si="6"/>
        <v>#REF!</v>
      </c>
    </row>
    <row r="145" spans="2:18" x14ac:dyDescent="0.3">
      <c r="B145" s="572" t="str">
        <f>IF(Überblick!$H$53&gt;=8,8,"")</f>
        <v/>
      </c>
      <c r="C145" s="507" t="e">
        <f>IF($B145=#REF!,#REF!*#REF!+#REF!+#REF!,0)</f>
        <v>#REF!</v>
      </c>
      <c r="D145" s="507" t="e">
        <f>IF($B145=#REF!,#REF!*#REF!+#REF!+#REF!,0)</f>
        <v>#REF!</v>
      </c>
      <c r="E145" s="507" t="e">
        <f>IF($B145=#REF!,#REF!*#REF!+#REF!+#REF!,0)</f>
        <v>#REF!</v>
      </c>
      <c r="F145" s="507" t="e">
        <f>IF($B145=#REF!,#REF!*#REF!+#REF!+#REF!,0)</f>
        <v>#REF!</v>
      </c>
      <c r="G145" s="507" t="e">
        <f>IF($B145=#REF!,#REF!*#REF!+#REF!+#REF!+#REF!,0)</f>
        <v>#REF!</v>
      </c>
      <c r="H145" s="507" t="e">
        <f>IF($B145=#REF!,#REF!*#REF!+#REF!+#REF!+#REF!+#REF!+#REF!,0)</f>
        <v>#REF!</v>
      </c>
      <c r="I145" s="507" t="e">
        <f>IF($B145=#REF!,#REF!*#REF!+#REF!+#REF!,0)</f>
        <v>#REF!</v>
      </c>
      <c r="J145" s="507" t="e">
        <f>IF($B145=#REF!,#REF!*#REF!+#REF!+#REF!,0)</f>
        <v>#REF!</v>
      </c>
      <c r="K145" s="507" t="e">
        <f>IF($B145=#REF!,#REF!*#REF!+#REF!+#REF!+#REF!,0)</f>
        <v>#REF!</v>
      </c>
      <c r="L145" s="507" t="e">
        <f>IF($B145=#REF!,#REF!*#REF!+#REF!+#REF!,0)</f>
        <v>#REF!</v>
      </c>
      <c r="M145" s="507" t="e">
        <f>IF($B145=#REF!,#REF!*#REF!+#REF!+#REF!,0)</f>
        <v>#REF!</v>
      </c>
      <c r="N145" s="507" t="e">
        <f>IF($B145=#REF!,#REF!*#REF!+#REF!+#REF!,0)</f>
        <v>#REF!</v>
      </c>
      <c r="O145" s="507" t="e">
        <f>IF($B145=#REF!,#REF!*#REF!+#REF!+#REF!,0)</f>
        <v>#REF!</v>
      </c>
      <c r="P145" s="507" t="e">
        <f>IF($B145=#REF!,#REF!*#REF!+#REF!+#REF!,0)</f>
        <v>#REF!</v>
      </c>
      <c r="Q145" s="508" t="e">
        <f t="shared" si="6"/>
        <v>#REF!</v>
      </c>
    </row>
    <row r="146" spans="2:18" ht="15.2" thickBot="1" x14ac:dyDescent="0.35">
      <c r="B146" s="573" t="str">
        <f>IF(Überblick!$H$53&gt;=9,9,"")</f>
        <v/>
      </c>
      <c r="C146" s="511" t="e">
        <f>IF($B146=#REF!,#REF!*#REF!+#REF!+#REF!,0)</f>
        <v>#REF!</v>
      </c>
      <c r="D146" s="511" t="e">
        <f>IF($B146=#REF!,#REF!*#REF!+#REF!+#REF!,0)</f>
        <v>#REF!</v>
      </c>
      <c r="E146" s="511" t="e">
        <f>IF($B146=#REF!,#REF!*#REF!+#REF!+#REF!,0)</f>
        <v>#REF!</v>
      </c>
      <c r="F146" s="511" t="e">
        <f>IF($B146=#REF!,#REF!*#REF!+#REF!+#REF!,0)</f>
        <v>#REF!</v>
      </c>
      <c r="G146" s="511" t="e">
        <f>IF($B146=#REF!,#REF!*#REF!+#REF!+#REF!+#REF!,0)</f>
        <v>#REF!</v>
      </c>
      <c r="H146" s="511" t="e">
        <f>IF($B146=#REF!,#REF!*#REF!+#REF!+#REF!+#REF!+#REF!+#REF!,0)</f>
        <v>#REF!</v>
      </c>
      <c r="I146" s="511" t="e">
        <f>IF($B146=#REF!,#REF!*#REF!+#REF!+#REF!,0)</f>
        <v>#REF!</v>
      </c>
      <c r="J146" s="511" t="e">
        <f>IF($B146=#REF!,#REF!*#REF!+#REF!+#REF!,0)</f>
        <v>#REF!</v>
      </c>
      <c r="K146" s="511" t="e">
        <f>IF($B146=#REF!,#REF!*#REF!+#REF!+#REF!+#REF!,0)</f>
        <v>#REF!</v>
      </c>
      <c r="L146" s="511" t="e">
        <f>IF($B146=#REF!,#REF!*#REF!+#REF!+#REF!,0)</f>
        <v>#REF!</v>
      </c>
      <c r="M146" s="511" t="e">
        <f>IF($B146=#REF!,#REF!*#REF!+#REF!+#REF!,0)</f>
        <v>#REF!</v>
      </c>
      <c r="N146" s="511" t="e">
        <f>IF($B146=#REF!,#REF!*#REF!+#REF!+#REF!,0)</f>
        <v>#REF!</v>
      </c>
      <c r="O146" s="511" t="e">
        <f>IF($B146=#REF!,#REF!*#REF!+#REF!+#REF!,0)</f>
        <v>#REF!</v>
      </c>
      <c r="P146" s="511" t="e">
        <f>IF($B146=#REF!,#REF!*#REF!+#REF!+#REF!,0)</f>
        <v>#REF!</v>
      </c>
      <c r="Q146" s="512" t="e">
        <f t="shared" ref="Q146" si="7">SUM(C146:P146)</f>
        <v>#REF!</v>
      </c>
    </row>
    <row r="147" spans="2:18" x14ac:dyDescent="0.3">
      <c r="Q147" s="574" t="e">
        <f>SUM(Q138:Q146)</f>
        <v>#REF!</v>
      </c>
      <c r="R147" s="490"/>
    </row>
    <row r="159" spans="2:18" x14ac:dyDescent="0.3">
      <c r="B159" s="514"/>
      <c r="C159" s="515"/>
      <c r="D159" s="516"/>
    </row>
  </sheetData>
  <mergeCells count="86">
    <mergeCell ref="E113:F113"/>
    <mergeCell ref="C114:D114"/>
    <mergeCell ref="E114:F114"/>
    <mergeCell ref="B94:E94"/>
    <mergeCell ref="B95:E95"/>
    <mergeCell ref="B96:E96"/>
    <mergeCell ref="C112:D112"/>
    <mergeCell ref="E112:F112"/>
    <mergeCell ref="C107:F107"/>
    <mergeCell ref="C108:D108"/>
    <mergeCell ref="E108:F108"/>
    <mergeCell ref="C109:D109"/>
    <mergeCell ref="E109:F109"/>
    <mergeCell ref="C123:D123"/>
    <mergeCell ref="E123:F123"/>
    <mergeCell ref="C119:D119"/>
    <mergeCell ref="E119:F119"/>
    <mergeCell ref="C120:D120"/>
    <mergeCell ref="E120:F120"/>
    <mergeCell ref="C121:D121"/>
    <mergeCell ref="E121:F121"/>
    <mergeCell ref="C115:D115"/>
    <mergeCell ref="E115:F115"/>
    <mergeCell ref="C116:D116"/>
    <mergeCell ref="E116:F116"/>
    <mergeCell ref="E122:F122"/>
    <mergeCell ref="C117:D117"/>
    <mergeCell ref="E117:F117"/>
    <mergeCell ref="C118:D118"/>
    <mergeCell ref="E118:F118"/>
    <mergeCell ref="C122:D122"/>
    <mergeCell ref="I104:J104"/>
    <mergeCell ref="K104:L104"/>
    <mergeCell ref="G69:H69"/>
    <mergeCell ref="I69:J69"/>
    <mergeCell ref="K69:L69"/>
    <mergeCell ref="G104:H104"/>
    <mergeCell ref="J65:K65"/>
    <mergeCell ref="B62:E62"/>
    <mergeCell ref="G62:H62"/>
    <mergeCell ref="B64:E64"/>
    <mergeCell ref="G64:H64"/>
    <mergeCell ref="J64:K64"/>
    <mergeCell ref="I62:J62"/>
    <mergeCell ref="K62:L62"/>
    <mergeCell ref="B65:E65"/>
    <mergeCell ref="G65:H65"/>
    <mergeCell ref="J50:K50"/>
    <mergeCell ref="G52:G54"/>
    <mergeCell ref="G56:G60"/>
    <mergeCell ref="A2:A5"/>
    <mergeCell ref="C2:D2"/>
    <mergeCell ref="F2:G2"/>
    <mergeCell ref="I2:J2"/>
    <mergeCell ref="C3:D3"/>
    <mergeCell ref="F3:G3"/>
    <mergeCell ref="I3:J3"/>
    <mergeCell ref="C5:D5"/>
    <mergeCell ref="F5:G5"/>
    <mergeCell ref="I5:J5"/>
    <mergeCell ref="B26:B44"/>
    <mergeCell ref="E26:E44"/>
    <mergeCell ref="H26:H44"/>
    <mergeCell ref="E135:F135"/>
    <mergeCell ref="C125:D125"/>
    <mergeCell ref="C127:D127"/>
    <mergeCell ref="E127:F127"/>
    <mergeCell ref="C129:D129"/>
    <mergeCell ref="C133:D133"/>
    <mergeCell ref="E133:F133"/>
    <mergeCell ref="G50:H50"/>
    <mergeCell ref="E76:E77"/>
    <mergeCell ref="C113:D113"/>
    <mergeCell ref="B86:E86"/>
    <mergeCell ref="B87:E87"/>
    <mergeCell ref="E70:E71"/>
    <mergeCell ref="B85:E85"/>
    <mergeCell ref="C110:D110"/>
    <mergeCell ref="E110:F110"/>
    <mergeCell ref="C111:D111"/>
    <mergeCell ref="E111:F111"/>
    <mergeCell ref="B105:E105"/>
    <mergeCell ref="B88:E88"/>
    <mergeCell ref="B93:E93"/>
    <mergeCell ref="D76:D80"/>
    <mergeCell ref="D70:D74"/>
  </mergeCells>
  <conditionalFormatting sqref="C138:P146">
    <cfRule type="cellIs" dxfId="410" priority="5" operator="greaterThan">
      <formula>0</formula>
    </cfRule>
  </conditionalFormatting>
  <conditionalFormatting sqref="A6:A44">
    <cfRule type="colorScale" priority="4">
      <colorScale>
        <cfvo type="min"/>
        <cfvo type="percentile" val="50"/>
        <cfvo type="max"/>
        <color rgb="FF63BE7B"/>
        <color rgb="FFFFEB84"/>
        <color rgb="FFF8696B"/>
      </colorScale>
    </cfRule>
  </conditionalFormatting>
  <conditionalFormatting sqref="C6:D44">
    <cfRule type="colorScale" priority="3">
      <colorScale>
        <cfvo type="min"/>
        <cfvo type="percentile" val="50"/>
        <cfvo type="max"/>
        <color rgb="FF63BE7B"/>
        <color rgb="FFFFEB84"/>
        <color rgb="FFF8696B"/>
      </colorScale>
    </cfRule>
  </conditionalFormatting>
  <conditionalFormatting sqref="F6:G44">
    <cfRule type="colorScale" priority="2">
      <colorScale>
        <cfvo type="min"/>
        <cfvo type="percentile" val="50"/>
        <cfvo type="max"/>
        <color rgb="FF63BE7B"/>
        <color rgb="FFFFEB84"/>
        <color rgb="FFF8696B"/>
      </colorScale>
    </cfRule>
  </conditionalFormatting>
  <conditionalFormatting sqref="I6:J44">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5BB6-D1B6-43C7-BF3F-DCC189383904}">
  <sheetPr codeName="Tabelle18">
    <tabColor rgb="FFFFC000"/>
  </sheetPr>
  <dimension ref="A1:Q156"/>
  <sheetViews>
    <sheetView workbookViewId="0"/>
  </sheetViews>
  <sheetFormatPr baseColWidth="10" defaultColWidth="11.44140625" defaultRowHeight="14.55" x14ac:dyDescent="0.3"/>
  <cols>
    <col min="1" max="1" width="25.109375" style="384" bestFit="1" customWidth="1"/>
    <col min="2" max="2" width="11.5546875" style="384" bestFit="1" customWidth="1"/>
    <col min="3" max="4" width="11.6640625" style="384" bestFit="1" customWidth="1"/>
    <col min="5" max="5" width="11.5546875" style="384" bestFit="1" customWidth="1"/>
    <col min="6" max="7" width="11.6640625" style="384" bestFit="1" customWidth="1"/>
    <col min="8" max="8" width="15" style="384" bestFit="1" customWidth="1"/>
    <col min="9" max="9" width="11.6640625" style="384" bestFit="1" customWidth="1"/>
    <col min="10" max="10" width="12.6640625" style="384" bestFit="1" customWidth="1"/>
    <col min="11" max="12" width="12" style="384" bestFit="1" customWidth="1"/>
    <col min="13" max="17" width="11.5546875"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ht="15" customHeight="1" x14ac:dyDescent="0.3">
      <c r="A2" s="1195" t="s">
        <v>321</v>
      </c>
      <c r="B2" s="390"/>
      <c r="C2" s="1200" t="s">
        <v>322</v>
      </c>
      <c r="D2" s="1201"/>
      <c r="E2" s="390"/>
      <c r="F2" s="1200" t="s">
        <v>323</v>
      </c>
      <c r="G2" s="1201"/>
      <c r="H2" s="390"/>
      <c r="I2" s="1200" t="s">
        <v>324</v>
      </c>
      <c r="J2" s="1201"/>
    </row>
    <row r="3" spans="1:13" ht="1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3">
        <v>2547</v>
      </c>
      <c r="G6" s="424">
        <v>2990</v>
      </c>
      <c r="H6" s="422"/>
      <c r="I6" s="423">
        <v>2990</v>
      </c>
      <c r="J6" s="424">
        <v>3405</v>
      </c>
    </row>
    <row r="7" spans="1:13" x14ac:dyDescent="0.3">
      <c r="A7" s="427">
        <v>10000</v>
      </c>
      <c r="B7" s="422"/>
      <c r="C7" s="428">
        <v>3689</v>
      </c>
      <c r="D7" s="429">
        <v>4408</v>
      </c>
      <c r="E7" s="422"/>
      <c r="F7" s="428">
        <v>4408</v>
      </c>
      <c r="G7" s="429">
        <v>5174</v>
      </c>
      <c r="H7" s="422"/>
      <c r="I7" s="428">
        <v>5174</v>
      </c>
      <c r="J7" s="429">
        <v>5893</v>
      </c>
    </row>
    <row r="8" spans="1:13" x14ac:dyDescent="0.3">
      <c r="A8" s="427">
        <v>15000</v>
      </c>
      <c r="B8" s="422"/>
      <c r="C8" s="428">
        <v>5084</v>
      </c>
      <c r="D8" s="429">
        <v>6075</v>
      </c>
      <c r="E8" s="422"/>
      <c r="F8" s="428">
        <v>6075</v>
      </c>
      <c r="G8" s="429">
        <v>7131</v>
      </c>
      <c r="H8" s="422"/>
      <c r="I8" s="428">
        <v>7131</v>
      </c>
      <c r="J8" s="429">
        <v>8122</v>
      </c>
    </row>
    <row r="9" spans="1:13" x14ac:dyDescent="0.3">
      <c r="A9" s="427">
        <v>25000</v>
      </c>
      <c r="B9" s="422"/>
      <c r="C9" s="428">
        <v>7615</v>
      </c>
      <c r="D9" s="429">
        <v>9098</v>
      </c>
      <c r="E9" s="422"/>
      <c r="F9" s="428">
        <v>9098</v>
      </c>
      <c r="G9" s="429">
        <v>10681</v>
      </c>
      <c r="H9" s="422"/>
      <c r="I9" s="428">
        <v>10681</v>
      </c>
      <c r="J9" s="429">
        <v>12164</v>
      </c>
    </row>
    <row r="10" spans="1:13" x14ac:dyDescent="0.3">
      <c r="A10" s="427">
        <v>35000</v>
      </c>
      <c r="B10" s="422"/>
      <c r="C10" s="428">
        <v>9934</v>
      </c>
      <c r="D10" s="429">
        <v>11869</v>
      </c>
      <c r="E10" s="422"/>
      <c r="F10" s="428">
        <v>11869</v>
      </c>
      <c r="G10" s="429">
        <v>13934</v>
      </c>
      <c r="H10" s="422"/>
      <c r="I10" s="428">
        <v>13934</v>
      </c>
      <c r="J10" s="429">
        <v>15869</v>
      </c>
    </row>
    <row r="11" spans="1:13" x14ac:dyDescent="0.3">
      <c r="A11" s="427">
        <v>50000</v>
      </c>
      <c r="B11" s="422"/>
      <c r="C11" s="428">
        <v>13165</v>
      </c>
      <c r="D11" s="429">
        <v>15729</v>
      </c>
      <c r="E11" s="422"/>
      <c r="F11" s="428">
        <v>15729</v>
      </c>
      <c r="G11" s="429">
        <v>18465</v>
      </c>
      <c r="H11" s="422"/>
      <c r="I11" s="428">
        <v>18465</v>
      </c>
      <c r="J11" s="429">
        <v>21029</v>
      </c>
    </row>
    <row r="12" spans="1:13" x14ac:dyDescent="0.3">
      <c r="A12" s="427">
        <v>75000</v>
      </c>
      <c r="B12" s="422"/>
      <c r="C12" s="428">
        <v>18122</v>
      </c>
      <c r="D12" s="429">
        <v>21652</v>
      </c>
      <c r="E12" s="422"/>
      <c r="F12" s="428">
        <v>21652</v>
      </c>
      <c r="G12" s="429">
        <v>25418</v>
      </c>
      <c r="H12" s="422"/>
      <c r="I12" s="428">
        <v>25418</v>
      </c>
      <c r="J12" s="429">
        <v>28948</v>
      </c>
    </row>
    <row r="13" spans="1:13" x14ac:dyDescent="0.3">
      <c r="A13" s="427">
        <v>100000</v>
      </c>
      <c r="B13" s="422"/>
      <c r="C13" s="428">
        <v>22723</v>
      </c>
      <c r="D13" s="429">
        <v>27150</v>
      </c>
      <c r="E13" s="422"/>
      <c r="F13" s="428">
        <v>27150</v>
      </c>
      <c r="G13" s="429">
        <v>31872</v>
      </c>
      <c r="H13" s="422"/>
      <c r="I13" s="428">
        <v>31872</v>
      </c>
      <c r="J13" s="429">
        <v>36299</v>
      </c>
    </row>
    <row r="14" spans="1:13" x14ac:dyDescent="0.3">
      <c r="A14" s="427">
        <v>150000</v>
      </c>
      <c r="B14" s="422"/>
      <c r="C14" s="428">
        <v>31228</v>
      </c>
      <c r="D14" s="429">
        <v>37311</v>
      </c>
      <c r="E14" s="422"/>
      <c r="F14" s="428">
        <v>37311</v>
      </c>
      <c r="G14" s="429">
        <v>43800</v>
      </c>
      <c r="H14" s="422"/>
      <c r="I14" s="428">
        <v>43800</v>
      </c>
      <c r="J14" s="429">
        <v>49883</v>
      </c>
    </row>
    <row r="15" spans="1:13" x14ac:dyDescent="0.3">
      <c r="A15" s="427">
        <v>250000</v>
      </c>
      <c r="B15" s="422"/>
      <c r="C15" s="428">
        <v>46640</v>
      </c>
      <c r="D15" s="429">
        <v>55726</v>
      </c>
      <c r="E15" s="422"/>
      <c r="F15" s="428">
        <v>55726</v>
      </c>
      <c r="G15" s="429">
        <v>65418</v>
      </c>
      <c r="H15" s="422"/>
      <c r="I15" s="428">
        <v>65418</v>
      </c>
      <c r="J15" s="429">
        <v>74504</v>
      </c>
    </row>
    <row r="16" spans="1:13" x14ac:dyDescent="0.3">
      <c r="A16" s="427">
        <v>500000</v>
      </c>
      <c r="B16" s="422"/>
      <c r="C16" s="428">
        <v>80684</v>
      </c>
      <c r="D16" s="429">
        <v>96402</v>
      </c>
      <c r="E16" s="422"/>
      <c r="F16" s="428">
        <v>96402</v>
      </c>
      <c r="G16" s="429">
        <v>113168</v>
      </c>
      <c r="H16" s="422"/>
      <c r="I16" s="428">
        <v>113168</v>
      </c>
      <c r="J16" s="429">
        <v>128886</v>
      </c>
    </row>
    <row r="17" spans="1:10" x14ac:dyDescent="0.3">
      <c r="A17" s="427">
        <v>750000</v>
      </c>
      <c r="B17" s="422"/>
      <c r="C17" s="428">
        <v>111105</v>
      </c>
      <c r="D17" s="429">
        <v>132749</v>
      </c>
      <c r="E17" s="422"/>
      <c r="F17" s="428">
        <v>132749</v>
      </c>
      <c r="G17" s="429">
        <v>155836</v>
      </c>
      <c r="H17" s="422"/>
      <c r="I17" s="428">
        <v>155836</v>
      </c>
      <c r="J17" s="429">
        <v>177480</v>
      </c>
    </row>
    <row r="18" spans="1:10" x14ac:dyDescent="0.3">
      <c r="A18" s="427">
        <v>1000000</v>
      </c>
      <c r="B18" s="422"/>
      <c r="C18" s="428">
        <v>139347</v>
      </c>
      <c r="D18" s="429">
        <v>166493</v>
      </c>
      <c r="E18" s="422"/>
      <c r="F18" s="428">
        <v>166493</v>
      </c>
      <c r="G18" s="429">
        <v>195448</v>
      </c>
      <c r="H18" s="422"/>
      <c r="I18" s="428">
        <v>195448</v>
      </c>
      <c r="J18" s="429">
        <v>222594</v>
      </c>
    </row>
    <row r="19" spans="1:10" x14ac:dyDescent="0.3">
      <c r="A19" s="427">
        <v>1250000</v>
      </c>
      <c r="B19" s="422"/>
      <c r="C19" s="428">
        <v>166043</v>
      </c>
      <c r="D19" s="429">
        <v>198389</v>
      </c>
      <c r="E19" s="422"/>
      <c r="F19" s="428">
        <v>198389</v>
      </c>
      <c r="G19" s="429">
        <v>232891</v>
      </c>
      <c r="H19" s="422"/>
      <c r="I19" s="428">
        <v>232891</v>
      </c>
      <c r="J19" s="429">
        <v>265237</v>
      </c>
    </row>
    <row r="20" spans="1:10" x14ac:dyDescent="0.3">
      <c r="A20" s="427">
        <v>1500000</v>
      </c>
      <c r="B20" s="422"/>
      <c r="C20" s="428">
        <v>191545</v>
      </c>
      <c r="D20" s="429">
        <v>228859</v>
      </c>
      <c r="E20" s="422"/>
      <c r="F20" s="428">
        <v>228859</v>
      </c>
      <c r="G20" s="429">
        <v>268660</v>
      </c>
      <c r="H20" s="422"/>
      <c r="I20" s="428">
        <v>268660</v>
      </c>
      <c r="J20" s="429">
        <v>305974</v>
      </c>
    </row>
    <row r="21" spans="1:10" x14ac:dyDescent="0.3">
      <c r="A21" s="427">
        <v>2000000</v>
      </c>
      <c r="B21" s="422"/>
      <c r="C21" s="428">
        <v>239792</v>
      </c>
      <c r="D21" s="429">
        <v>286504</v>
      </c>
      <c r="E21" s="422"/>
      <c r="F21" s="428">
        <v>286504</v>
      </c>
      <c r="G21" s="429">
        <v>336331</v>
      </c>
      <c r="H21" s="422"/>
      <c r="I21" s="428">
        <v>336331</v>
      </c>
      <c r="J21" s="429">
        <v>383044</v>
      </c>
    </row>
    <row r="22" spans="1:10" x14ac:dyDescent="0.3">
      <c r="A22" s="427">
        <v>2500000</v>
      </c>
      <c r="B22" s="422"/>
      <c r="C22" s="428">
        <v>285649</v>
      </c>
      <c r="D22" s="429">
        <v>341295</v>
      </c>
      <c r="E22" s="422"/>
      <c r="F22" s="428">
        <v>341295</v>
      </c>
      <c r="G22" s="429">
        <v>400650</v>
      </c>
      <c r="H22" s="422"/>
      <c r="I22" s="428">
        <v>400650</v>
      </c>
      <c r="J22" s="429">
        <v>456296</v>
      </c>
    </row>
    <row r="23" spans="1:10" x14ac:dyDescent="0.3">
      <c r="A23" s="427">
        <v>3000000</v>
      </c>
      <c r="B23" s="422"/>
      <c r="C23" s="428">
        <v>329420</v>
      </c>
      <c r="D23" s="429">
        <v>393593</v>
      </c>
      <c r="E23" s="422"/>
      <c r="F23" s="428">
        <v>393593</v>
      </c>
      <c r="G23" s="429">
        <v>462044</v>
      </c>
      <c r="H23" s="422"/>
      <c r="I23" s="428">
        <v>462044</v>
      </c>
      <c r="J23" s="429">
        <v>526217</v>
      </c>
    </row>
    <row r="24" spans="1:10" x14ac:dyDescent="0.3">
      <c r="A24" s="427">
        <v>3500000</v>
      </c>
      <c r="B24" s="422"/>
      <c r="C24" s="428">
        <v>371491</v>
      </c>
      <c r="D24" s="429">
        <v>443859</v>
      </c>
      <c r="E24" s="422"/>
      <c r="F24" s="428">
        <v>443859</v>
      </c>
      <c r="G24" s="429">
        <v>521052</v>
      </c>
      <c r="H24" s="422"/>
      <c r="I24" s="428">
        <v>521052</v>
      </c>
      <c r="J24" s="429">
        <v>593420</v>
      </c>
    </row>
    <row r="25" spans="1:10" ht="15.2" thickBot="1" x14ac:dyDescent="0.35">
      <c r="A25" s="427">
        <v>4000000</v>
      </c>
      <c r="B25" s="431"/>
      <c r="C25" s="428">
        <v>412126</v>
      </c>
      <c r="D25" s="429">
        <v>492410</v>
      </c>
      <c r="E25" s="432"/>
      <c r="F25" s="428">
        <v>492410</v>
      </c>
      <c r="G25" s="429">
        <v>578046</v>
      </c>
      <c r="H25" s="422"/>
      <c r="I25" s="428">
        <v>578046</v>
      </c>
      <c r="J25" s="429">
        <v>658331</v>
      </c>
    </row>
    <row r="26" spans="1:10" x14ac:dyDescent="0.3">
      <c r="A26" s="427">
        <v>5000000</v>
      </c>
      <c r="B26" s="1255" t="s">
        <v>334</v>
      </c>
      <c r="C26" s="428">
        <v>491179</v>
      </c>
      <c r="D26" s="429">
        <v>586864</v>
      </c>
      <c r="E26" s="1255" t="s">
        <v>334</v>
      </c>
      <c r="F26" s="428">
        <f>D26</f>
        <v>586864</v>
      </c>
      <c r="G26" s="429">
        <v>688927</v>
      </c>
      <c r="H26" s="1255" t="s">
        <v>334</v>
      </c>
      <c r="I26" s="428">
        <f>G26</f>
        <v>688927</v>
      </c>
      <c r="J26" s="429">
        <v>784611</v>
      </c>
    </row>
    <row r="27" spans="1:10" x14ac:dyDescent="0.3">
      <c r="A27" s="427">
        <v>6000000</v>
      </c>
      <c r="B27" s="1256"/>
      <c r="C27" s="428">
        <v>566898</v>
      </c>
      <c r="D27" s="429">
        <v>677333</v>
      </c>
      <c r="E27" s="1256"/>
      <c r="F27" s="428">
        <f>D27</f>
        <v>677333</v>
      </c>
      <c r="G27" s="429">
        <v>795130</v>
      </c>
      <c r="H27" s="1256"/>
      <c r="I27" s="428">
        <f>G27</f>
        <v>795130</v>
      </c>
      <c r="J27" s="429">
        <v>905564</v>
      </c>
    </row>
    <row r="28" spans="1:10" x14ac:dyDescent="0.3">
      <c r="A28" s="427">
        <v>7000000</v>
      </c>
      <c r="B28" s="1256"/>
      <c r="C28" s="428">
        <v>639950</v>
      </c>
      <c r="D28" s="429">
        <v>764616</v>
      </c>
      <c r="E28" s="1256"/>
      <c r="F28" s="428">
        <f t="shared" ref="F28:F44" si="0">D28</f>
        <v>764616</v>
      </c>
      <c r="G28" s="429">
        <v>897593</v>
      </c>
      <c r="H28" s="1256"/>
      <c r="I28" s="428">
        <f t="shared" ref="I28:I44" si="1">G28</f>
        <v>897593</v>
      </c>
      <c r="J28" s="429">
        <v>1022258</v>
      </c>
    </row>
    <row r="29" spans="1:10" x14ac:dyDescent="0.3">
      <c r="A29" s="427">
        <v>8000000</v>
      </c>
      <c r="B29" s="1256"/>
      <c r="C29" s="428">
        <v>710795</v>
      </c>
      <c r="D29" s="429">
        <v>849261</v>
      </c>
      <c r="E29" s="1256"/>
      <c r="F29" s="428">
        <f t="shared" si="0"/>
        <v>849261</v>
      </c>
      <c r="G29" s="429">
        <v>996959</v>
      </c>
      <c r="H29" s="1256"/>
      <c r="I29" s="428">
        <f t="shared" si="1"/>
        <v>996959</v>
      </c>
      <c r="J29" s="429">
        <v>1135425</v>
      </c>
    </row>
    <row r="30" spans="1:10" x14ac:dyDescent="0.3">
      <c r="A30" s="427">
        <v>9000000</v>
      </c>
      <c r="B30" s="1256"/>
      <c r="C30" s="428">
        <v>779763</v>
      </c>
      <c r="D30" s="429">
        <v>931665</v>
      </c>
      <c r="E30" s="1256"/>
      <c r="F30" s="428">
        <f t="shared" si="0"/>
        <v>931665</v>
      </c>
      <c r="G30" s="429">
        <v>1093694</v>
      </c>
      <c r="H30" s="1256"/>
      <c r="I30" s="428">
        <f t="shared" si="1"/>
        <v>1093694</v>
      </c>
      <c r="J30" s="429">
        <v>1245595</v>
      </c>
    </row>
    <row r="31" spans="1:10" x14ac:dyDescent="0.3">
      <c r="A31" s="427">
        <v>10000000</v>
      </c>
      <c r="B31" s="1256"/>
      <c r="C31" s="428">
        <v>847106</v>
      </c>
      <c r="D31" s="429">
        <v>1012127</v>
      </c>
      <c r="E31" s="1256"/>
      <c r="F31" s="428">
        <f t="shared" si="0"/>
        <v>1012127</v>
      </c>
      <c r="G31" s="429">
        <v>1188149</v>
      </c>
      <c r="H31" s="1256"/>
      <c r="I31" s="428">
        <f t="shared" si="1"/>
        <v>1188149</v>
      </c>
      <c r="J31" s="429">
        <v>1353170</v>
      </c>
    </row>
    <row r="32" spans="1:10" x14ac:dyDescent="0.3">
      <c r="A32" s="427">
        <v>12500000</v>
      </c>
      <c r="B32" s="1256"/>
      <c r="C32" s="428">
        <v>1009545</v>
      </c>
      <c r="D32" s="429">
        <v>1206209</v>
      </c>
      <c r="E32" s="1256"/>
      <c r="F32" s="428">
        <f t="shared" si="0"/>
        <v>1206209</v>
      </c>
      <c r="G32" s="429">
        <v>1415985</v>
      </c>
      <c r="H32" s="1256"/>
      <c r="I32" s="428">
        <f t="shared" si="1"/>
        <v>1415985</v>
      </c>
      <c r="J32" s="429">
        <v>1612649</v>
      </c>
    </row>
    <row r="33" spans="1:17" x14ac:dyDescent="0.3">
      <c r="A33" s="427">
        <v>15000000</v>
      </c>
      <c r="B33" s="1256"/>
      <c r="C33" s="428">
        <v>1165120</v>
      </c>
      <c r="D33" s="429">
        <v>1392092</v>
      </c>
      <c r="E33" s="1256"/>
      <c r="F33" s="428">
        <f t="shared" si="0"/>
        <v>1392092</v>
      </c>
      <c r="G33" s="429">
        <v>1634195</v>
      </c>
      <c r="H33" s="1256"/>
      <c r="I33" s="428">
        <f t="shared" si="1"/>
        <v>1634195</v>
      </c>
      <c r="J33" s="429">
        <v>1861166</v>
      </c>
    </row>
    <row r="34" spans="1:17" x14ac:dyDescent="0.3">
      <c r="A34" s="427">
        <v>17500000</v>
      </c>
      <c r="B34" s="1256"/>
      <c r="C34" s="428">
        <v>1315210</v>
      </c>
      <c r="D34" s="429">
        <v>1571419</v>
      </c>
      <c r="E34" s="1256"/>
      <c r="F34" s="428">
        <f t="shared" si="0"/>
        <v>1571419</v>
      </c>
      <c r="G34" s="429">
        <v>1844710</v>
      </c>
      <c r="H34" s="1256"/>
      <c r="I34" s="428">
        <f t="shared" si="1"/>
        <v>1844710</v>
      </c>
      <c r="J34" s="429">
        <v>2100919</v>
      </c>
    </row>
    <row r="35" spans="1:17" x14ac:dyDescent="0.3">
      <c r="A35" s="427">
        <v>20000000</v>
      </c>
      <c r="B35" s="1256"/>
      <c r="C35" s="428">
        <v>1460755</v>
      </c>
      <c r="D35" s="429">
        <v>1745318</v>
      </c>
      <c r="E35" s="1256"/>
      <c r="F35" s="428">
        <f t="shared" si="0"/>
        <v>1745318</v>
      </c>
      <c r="G35" s="429">
        <v>2048852</v>
      </c>
      <c r="H35" s="1256"/>
      <c r="I35" s="428">
        <f t="shared" si="1"/>
        <v>2048852</v>
      </c>
      <c r="J35" s="429">
        <v>2333414</v>
      </c>
    </row>
    <row r="36" spans="1:17" x14ac:dyDescent="0.3">
      <c r="A36" s="427">
        <v>25000000</v>
      </c>
      <c r="B36" s="1256"/>
      <c r="C36" s="428">
        <v>1740783</v>
      </c>
      <c r="D36" s="429">
        <v>2079896</v>
      </c>
      <c r="E36" s="1256"/>
      <c r="F36" s="428">
        <f t="shared" si="0"/>
        <v>2079896</v>
      </c>
      <c r="G36" s="429">
        <v>2441617</v>
      </c>
      <c r="H36" s="1256"/>
      <c r="I36" s="428">
        <f t="shared" si="1"/>
        <v>2441617</v>
      </c>
      <c r="J36" s="429">
        <v>2780731</v>
      </c>
    </row>
    <row r="37" spans="1:17" x14ac:dyDescent="0.3">
      <c r="A37" s="427">
        <v>30000000</v>
      </c>
      <c r="B37" s="1256"/>
      <c r="C37" s="428">
        <v>2008964</v>
      </c>
      <c r="D37" s="429">
        <v>2400321</v>
      </c>
      <c r="E37" s="1256"/>
      <c r="F37" s="428">
        <f t="shared" si="0"/>
        <v>2400321</v>
      </c>
      <c r="G37" s="429">
        <v>2817768</v>
      </c>
      <c r="H37" s="1256"/>
      <c r="I37" s="428">
        <f t="shared" si="1"/>
        <v>2817768</v>
      </c>
      <c r="J37" s="429">
        <v>3209125</v>
      </c>
    </row>
    <row r="38" spans="1:17" x14ac:dyDescent="0.3">
      <c r="A38" s="427">
        <v>40000000</v>
      </c>
      <c r="B38" s="1256"/>
      <c r="C38" s="428">
        <v>2518545</v>
      </c>
      <c r="D38" s="429">
        <v>3009171</v>
      </c>
      <c r="E38" s="1256"/>
      <c r="F38" s="428">
        <f t="shared" si="0"/>
        <v>3009171</v>
      </c>
      <c r="G38" s="429">
        <v>3532505</v>
      </c>
      <c r="H38" s="1256"/>
      <c r="I38" s="428">
        <f t="shared" si="1"/>
        <v>3532505</v>
      </c>
      <c r="J38" s="429">
        <v>4023130</v>
      </c>
    </row>
    <row r="39" spans="1:17" x14ac:dyDescent="0.3">
      <c r="A39" s="427">
        <v>50000000</v>
      </c>
      <c r="B39" s="1256"/>
      <c r="C39" s="428">
        <v>3001186</v>
      </c>
      <c r="D39" s="429">
        <v>3585832</v>
      </c>
      <c r="E39" s="1256"/>
      <c r="F39" s="428">
        <f t="shared" si="0"/>
        <v>3585832</v>
      </c>
      <c r="G39" s="429">
        <v>4209455</v>
      </c>
      <c r="H39" s="1256"/>
      <c r="I39" s="428">
        <f t="shared" si="1"/>
        <v>4209455</v>
      </c>
      <c r="J39" s="429">
        <v>4794102</v>
      </c>
    </row>
    <row r="40" spans="1:17" x14ac:dyDescent="0.3">
      <c r="A40" s="427">
        <v>75000000</v>
      </c>
      <c r="B40" s="1256"/>
      <c r="C40" s="428">
        <v>4126934</v>
      </c>
      <c r="D40" s="429">
        <v>4930882</v>
      </c>
      <c r="E40" s="1256"/>
      <c r="F40" s="428">
        <f t="shared" si="0"/>
        <v>4930882</v>
      </c>
      <c r="G40" s="429">
        <v>5788426</v>
      </c>
      <c r="H40" s="1256"/>
      <c r="I40" s="428">
        <f t="shared" si="1"/>
        <v>5788426</v>
      </c>
      <c r="J40" s="429">
        <v>6592374</v>
      </c>
    </row>
    <row r="41" spans="1:17" x14ac:dyDescent="0.3">
      <c r="A41" s="427">
        <v>100000000</v>
      </c>
      <c r="B41" s="1256"/>
      <c r="C41" s="428">
        <v>5173197</v>
      </c>
      <c r="D41" s="429">
        <v>6180963</v>
      </c>
      <c r="E41" s="1256"/>
      <c r="F41" s="428">
        <f t="shared" si="0"/>
        <v>6180963</v>
      </c>
      <c r="G41" s="429">
        <v>7255913</v>
      </c>
      <c r="H41" s="1256"/>
      <c r="I41" s="428">
        <f t="shared" si="1"/>
        <v>7255913</v>
      </c>
      <c r="J41" s="429">
        <v>8263678</v>
      </c>
    </row>
    <row r="42" spans="1:17" x14ac:dyDescent="0.3">
      <c r="A42" s="427">
        <v>150000000</v>
      </c>
      <c r="B42" s="1256"/>
      <c r="C42" s="428">
        <v>7112783</v>
      </c>
      <c r="D42" s="429">
        <v>8498390</v>
      </c>
      <c r="E42" s="1256"/>
      <c r="F42" s="428">
        <f t="shared" si="0"/>
        <v>8498390</v>
      </c>
      <c r="G42" s="429">
        <v>9976370</v>
      </c>
      <c r="H42" s="1256"/>
      <c r="I42" s="428">
        <f t="shared" si="1"/>
        <v>9976370</v>
      </c>
      <c r="J42" s="429">
        <v>11361977</v>
      </c>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row>
    <row r="45" spans="1:17" x14ac:dyDescent="0.3">
      <c r="A45" s="436"/>
      <c r="B45" s="431"/>
      <c r="C45" s="436"/>
      <c r="D45" s="436"/>
      <c r="E45" s="431"/>
      <c r="F45" s="436"/>
      <c r="G45" s="436"/>
      <c r="H45" s="431"/>
      <c r="I45" s="436"/>
      <c r="J45" s="436"/>
    </row>
    <row r="46" spans="1:17" s="445" customFormat="1" ht="26.25" customHeight="1" x14ac:dyDescent="0.3">
      <c r="A46" s="437"/>
      <c r="B46" s="438" t="s">
        <v>481</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t="e">
        <f>#REF!</f>
        <v>#REF!</v>
      </c>
      <c r="H62" s="1263"/>
      <c r="I62" s="1262" t="e">
        <f>#REF!</f>
        <v>#REF!</v>
      </c>
      <c r="J62" s="1263"/>
      <c r="K62" s="1262" t="e">
        <f>#REF!</f>
        <v>#REF!</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t="e">
        <f>#REF!</f>
        <v>#REF!</v>
      </c>
      <c r="H64" s="1182"/>
      <c r="J64" s="1258"/>
      <c r="K64" s="1258"/>
      <c r="L64" s="456"/>
      <c r="M64" s="459"/>
      <c r="N64" s="443"/>
      <c r="O64" s="443"/>
      <c r="P64" s="443"/>
      <c r="Q64" s="444"/>
    </row>
    <row r="65" spans="1:17" x14ac:dyDescent="0.3">
      <c r="A65" s="446"/>
      <c r="B65" s="1242" t="s">
        <v>338</v>
      </c>
      <c r="C65" s="1243"/>
      <c r="D65" s="1243"/>
      <c r="E65" s="1244"/>
      <c r="F65" s="458"/>
      <c r="G65" s="1181" t="e">
        <f>#REF!</f>
        <v>#REF!</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171" t="s">
        <v>337</v>
      </c>
      <c r="F70" s="460"/>
      <c r="G70" s="461" t="s">
        <v>349</v>
      </c>
      <c r="H70" s="462" t="e">
        <f>IF(G62&lt;$A$6,0,IF(G62&gt;$A$44,0,VLOOKUP(G62,$A$6:$A$44,1)))</f>
        <v>#REF!</v>
      </c>
      <c r="I70" s="461" t="s">
        <v>349</v>
      </c>
      <c r="J70" s="462" t="e">
        <f>IF(I62&lt;$A$6,0,IF(I62&gt;$A$44,0,VLOOKUP(I62,$A$6:$A$44,1)))</f>
        <v>#REF!</v>
      </c>
      <c r="K70" s="461" t="s">
        <v>349</v>
      </c>
      <c r="L70" s="462" t="e">
        <f>IF(K62&lt;$A$6,0,IF(K62&gt;$A$44,0,VLOOKUP(K62,$A$6:$A$44,1)))</f>
        <v>#REF!</v>
      </c>
      <c r="M70" s="74"/>
      <c r="N70" s="444"/>
      <c r="O70" s="444"/>
      <c r="P70" s="444"/>
      <c r="Q70" s="444"/>
    </row>
    <row r="71" spans="1:17" x14ac:dyDescent="0.3">
      <c r="A71" s="446"/>
      <c r="B71" s="449"/>
      <c r="C71" s="449"/>
      <c r="D71" s="1223"/>
      <c r="E71" s="1172"/>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561">
        <v>1</v>
      </c>
      <c r="F72" s="74"/>
      <c r="G72" s="462" t="e">
        <f>IF(G62&lt;$A$6,0,IF(G62&gt;$A$44,0,VLOOKUP(H70,$A$6:$J$44,3)))</f>
        <v>#REF!</v>
      </c>
      <c r="H72" s="462" t="e">
        <f>IF(G62&lt;$A$6,0,IF(G62&gt;$A$44,0,VLOOKUP(G72,$C$6:$D$44,2)))</f>
        <v>#REF!</v>
      </c>
      <c r="I72" s="462" t="e">
        <f>IF(I62&lt;$A$6,0,IF(I62&gt;$A$44,0,VLOOKUP(J70,$A$6:$J$44,3)))</f>
        <v>#REF!</v>
      </c>
      <c r="J72" s="462" t="e">
        <f>IF(I62&lt;$A$6,0,IF(I62&gt;$A$44,0,VLOOKUP(I72,$C$6:$D$44,2)))</f>
        <v>#REF!</v>
      </c>
      <c r="K72" s="462" t="e">
        <f>IF(K62&lt;$A$6,0,IF(K62&gt;$A$44,0,VLOOKUP(L70,$A$6:$J$44,3)))</f>
        <v>#REF!</v>
      </c>
      <c r="L72" s="462" t="e">
        <f>IF(K62&lt;$A$6,0,IF(K62&gt;$A$44,0,VLOOKUP(K72,$C$6:$D$44,2)))</f>
        <v>#REF!</v>
      </c>
      <c r="M72" s="460"/>
      <c r="N72" s="444"/>
      <c r="O72" s="444"/>
      <c r="P72" s="444"/>
      <c r="Q72" s="444"/>
    </row>
    <row r="73" spans="1:17" x14ac:dyDescent="0.3">
      <c r="A73" s="446"/>
      <c r="B73" s="449"/>
      <c r="C73" s="449"/>
      <c r="D73" s="1223"/>
      <c r="E73" s="561">
        <v>2</v>
      </c>
      <c r="F73" s="74"/>
      <c r="G73" s="462" t="e">
        <f>IF(G62&lt;$A$6,0,IF(G62&gt;$A$44,0,VLOOKUP(H70,$A$6:$J$44,6)))</f>
        <v>#REF!</v>
      </c>
      <c r="H73" s="462" t="e">
        <f>IF(G62&lt;$A$6,0,IF(G62&gt;$A$44,0,VLOOKUP(G73,$F$6:$G$44,2)))</f>
        <v>#REF!</v>
      </c>
      <c r="I73" s="462" t="e">
        <f>IF(I62&lt;$A$6,0,IF(I62&gt;$A$44,0,VLOOKUP(J70,$A$6:$J$44,6)))</f>
        <v>#REF!</v>
      </c>
      <c r="J73" s="462" t="e">
        <f>IF(I62&lt;$A$6,0,IF(I62&gt;$A$44,0,VLOOKUP(I73,$F$6:$G$44,2)))</f>
        <v>#REF!</v>
      </c>
      <c r="K73" s="462" t="e">
        <f>IF(K62&lt;$A$6,0,IF(K62&gt;$A$44,0,VLOOKUP(L70,$A$6:$J$44,6)))</f>
        <v>#REF!</v>
      </c>
      <c r="L73" s="462" t="e">
        <f>IF(K62&lt;$A$6,0,IF(K62&gt;$A$44,0,VLOOKUP(K73,$F$6:$G$44,2)))</f>
        <v>#REF!</v>
      </c>
      <c r="M73" s="460"/>
      <c r="N73" s="444"/>
      <c r="O73" s="444"/>
      <c r="P73" s="444"/>
      <c r="Q73" s="444"/>
    </row>
    <row r="74" spans="1:17" x14ac:dyDescent="0.3">
      <c r="A74" s="446"/>
      <c r="B74" s="449"/>
      <c r="C74" s="449"/>
      <c r="D74" s="1224"/>
      <c r="E74" s="561">
        <v>3</v>
      </c>
      <c r="F74" s="74"/>
      <c r="G74" s="462" t="e">
        <f>IF(G62&lt;$A$6,0,IF(G62&gt;$A$44,0,VLOOKUP(H70,$A$6:$J$44,9)))</f>
        <v>#REF!</v>
      </c>
      <c r="H74" s="462" t="e">
        <f>IF(G62&lt;$A$6,0,IF(G62&gt;$A$44,0,VLOOKUP(G74,$I$6:$J$44,2)))</f>
        <v>#REF!</v>
      </c>
      <c r="I74" s="462" t="e">
        <f>IF(I62&lt;$A$6,0,IF(I62&gt;$A$44,0,VLOOKUP(J70,$A$6:$J$44,9)))</f>
        <v>#REF!</v>
      </c>
      <c r="J74" s="462" t="e">
        <f>IF(I62&lt;$A$6,0,IF(I62&gt;$A$44,0,VLOOKUP(I74,$I$6:$J$44,2)))</f>
        <v>#REF!</v>
      </c>
      <c r="K74" s="462" t="e">
        <f>IF(K62&lt;$A$6,0,IF(K62&gt;$A$44,0,VLOOKUP(L70,$A$6:$J$44,9)))</f>
        <v>#REF!</v>
      </c>
      <c r="L74" s="462" t="e">
        <f>IF(K62&lt;$A$6,0,IF(K62&gt;$A$44,0,VLOOKUP(K74,$I$6:$J$44,2)))</f>
        <v>#REF!</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171" t="s">
        <v>337</v>
      </c>
      <c r="F76" s="74"/>
      <c r="G76" s="461" t="s">
        <v>349</v>
      </c>
      <c r="H76" s="462" t="e">
        <f>IF(G62&lt;$A$6,0,IF(G62&gt;$A$44,0,INDEX($A$6:$A$44,MATCH(G62,$A$6:$A$44,1)+1,1)))</f>
        <v>#REF!</v>
      </c>
      <c r="I76" s="461" t="s">
        <v>349</v>
      </c>
      <c r="J76" s="462" t="e">
        <f>IF(I62&lt;$A$6,0,IF(I62&gt;$A$44,0,INDEX($A$6:$A$44,MATCH(I62,$A$6:$A$44,1)+1,1)))</f>
        <v>#REF!</v>
      </c>
      <c r="K76" s="461" t="s">
        <v>349</v>
      </c>
      <c r="L76" s="462" t="e">
        <f>IF(K62&lt;$A$6,0,IF(K62&gt;$A$44,0,INDEX($A$6:$A$44,MATCH(K62,$A$6:$A$44,1)+1,1)))</f>
        <v>#REF!</v>
      </c>
      <c r="M76" s="74"/>
      <c r="N76" s="444"/>
      <c r="O76" s="444"/>
      <c r="P76" s="444"/>
      <c r="Q76" s="444"/>
    </row>
    <row r="77" spans="1:17" x14ac:dyDescent="0.3">
      <c r="A77" s="446"/>
      <c r="B77" s="449"/>
      <c r="C77" s="449"/>
      <c r="D77" s="1223"/>
      <c r="E77" s="1172"/>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561">
        <v>1</v>
      </c>
      <c r="F78" s="74"/>
      <c r="G78" s="462" t="e">
        <f>IF(G62&lt;$A$6,0,IF(G62&gt;$A$44,0,VLOOKUP(H76,$A$6:$J$44,3)))</f>
        <v>#REF!</v>
      </c>
      <c r="H78" s="462" t="e">
        <f>IF(G62&lt;$A$6,0,IF(G62&gt;$A$44,0,VLOOKUP(G78,$C$6:$D$44,2)))</f>
        <v>#REF!</v>
      </c>
      <c r="I78" s="462" t="e">
        <f>IF(I62&lt;$A$6,0,IF(I62&gt;$A$44,0,VLOOKUP(J76,$A$6:$J$44,3)))</f>
        <v>#REF!</v>
      </c>
      <c r="J78" s="462" t="e">
        <f>IF(I62&lt;$A$6,0,IF(I62&gt;$A$44,0,VLOOKUP(I78,$C$6:$D$44,2)))</f>
        <v>#REF!</v>
      </c>
      <c r="K78" s="462" t="e">
        <f>IF(K62&lt;$A$6,0,IF(K62&gt;$A$44,0,VLOOKUP(L76,$A$6:$J$44,3)))</f>
        <v>#REF!</v>
      </c>
      <c r="L78" s="462" t="e">
        <f>IF(K62&lt;$A$6,0,IF(K62&gt;$A$44,0,VLOOKUP(K78,$C$6:$D$44,2)))</f>
        <v>#REF!</v>
      </c>
      <c r="M78" s="460"/>
      <c r="N78" s="444"/>
      <c r="O78" s="444"/>
      <c r="P78" s="444"/>
      <c r="Q78" s="444"/>
    </row>
    <row r="79" spans="1:17" x14ac:dyDescent="0.3">
      <c r="A79" s="446"/>
      <c r="B79" s="449"/>
      <c r="C79" s="449"/>
      <c r="D79" s="1223"/>
      <c r="E79" s="561">
        <v>2</v>
      </c>
      <c r="F79" s="74"/>
      <c r="G79" s="462" t="e">
        <f>IF(G62&lt;$A$6,0,IF(G62&gt;$A$44,0,VLOOKUP(H76,$A$6:$J$44,6)))</f>
        <v>#REF!</v>
      </c>
      <c r="H79" s="462" t="e">
        <f>IF(G62&lt;$A$6,0,IF(G62&gt;$A$44,0,VLOOKUP(G79,$F$6:$G$44,2)))</f>
        <v>#REF!</v>
      </c>
      <c r="I79" s="462" t="e">
        <f>IF(I62&lt;$A$6,0,IF(I62&gt;$A$44,0,VLOOKUP(J76,$A$6:$J$44,6)))</f>
        <v>#REF!</v>
      </c>
      <c r="J79" s="462" t="e">
        <f>IF(I62&lt;$A$6,0,IF(I62&gt;$A$44,0,VLOOKUP(I79,$F$6:$G$44,2)))</f>
        <v>#REF!</v>
      </c>
      <c r="K79" s="462" t="e">
        <f>IF(K62&lt;$A$6,0,IF(K62&gt;$A$44,0,VLOOKUP(L76,$A$6:$J$44,6)))</f>
        <v>#REF!</v>
      </c>
      <c r="L79" s="462" t="e">
        <f>IF(K62&lt;$A$6,0,IF(K62&gt;$A$44,0,VLOOKUP(K79,$F$6:$G$44,2)))</f>
        <v>#REF!</v>
      </c>
      <c r="M79" s="460"/>
      <c r="N79" s="444"/>
      <c r="O79" s="444"/>
      <c r="P79" s="444"/>
      <c r="Q79" s="444"/>
    </row>
    <row r="80" spans="1:17" x14ac:dyDescent="0.3">
      <c r="A80" s="446"/>
      <c r="B80" s="449"/>
      <c r="C80" s="449"/>
      <c r="D80" s="1224"/>
      <c r="E80" s="561">
        <v>3</v>
      </c>
      <c r="F80" s="74"/>
      <c r="G80" s="462" t="e">
        <f>IF(G62&lt;$A$6,0,IF(G62&gt;$A$44,0,VLOOKUP(H76,$A$6:$J$44,9)))</f>
        <v>#REF!</v>
      </c>
      <c r="H80" s="462" t="e">
        <f>IF(G62&lt;$A$6,0,IF(G62&gt;$A$44,0,VLOOKUP(G80,$I$6:$J$44,2)))</f>
        <v>#REF!</v>
      </c>
      <c r="I80" s="462" t="e">
        <f>IF(I62&lt;$A$6,0,IF(I62&gt;$A$44,0,VLOOKUP(J76,$A$6:$J$44,9)))</f>
        <v>#REF!</v>
      </c>
      <c r="J80" s="462" t="e">
        <f>IF(I62&lt;$A$6,0,IF(I62&gt;$A$44,0,VLOOKUP(I80,$I$6:$J$44,2)))</f>
        <v>#REF!</v>
      </c>
      <c r="K80" s="462" t="e">
        <f>IF(K62&lt;$A$6,0,IF(K62&gt;$A$44,0,VLOOKUP(L76,$A$6:$J$44,9)))</f>
        <v>#REF!</v>
      </c>
      <c r="L80" s="462" t="e">
        <f>IF(K62&lt;$A$6,0,IF(K62&gt;$A$44,0,VLOOKUP(K80,$I$6:$J$44,2)))</f>
        <v>#REF!</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t="e">
        <f>VLOOKUP(G64,E72:H74,3)</f>
        <v>#REF!</v>
      </c>
      <c r="H85" s="468" t="e">
        <f>VLOOKUP(G64,E72:H74,4)</f>
        <v>#REF!</v>
      </c>
      <c r="I85" s="468" t="e">
        <f>VLOOKUP(G64,E72:J74,5)</f>
        <v>#REF!</v>
      </c>
      <c r="J85" s="468" t="e">
        <f>VLOOKUP(G64,E72:J74,6)</f>
        <v>#REF!</v>
      </c>
      <c r="K85" s="468" t="e">
        <f>VLOOKUP(G64,E72:K74,7)</f>
        <v>#REF!</v>
      </c>
      <c r="L85" s="468" t="e">
        <f>VLOOKUP(G64,E72:L74,8)</f>
        <v>#REF!</v>
      </c>
      <c r="M85" s="469"/>
      <c r="N85" s="444"/>
      <c r="O85" s="444"/>
      <c r="P85" s="444"/>
      <c r="Q85" s="444"/>
    </row>
    <row r="86" spans="1:17" x14ac:dyDescent="0.3">
      <c r="A86" s="446"/>
      <c r="B86" s="1238" t="s">
        <v>350</v>
      </c>
      <c r="C86" s="1238"/>
      <c r="D86" s="1238"/>
      <c r="E86" s="1238"/>
      <c r="F86" s="74"/>
      <c r="G86" s="468" t="e">
        <f>VLOOKUP(G64,E78:H80,3)</f>
        <v>#REF!</v>
      </c>
      <c r="H86" s="468" t="e">
        <f>VLOOKUP(G64,E78:H80,4)</f>
        <v>#REF!</v>
      </c>
      <c r="I86" s="468" t="e">
        <f>VLOOKUP(G64,E78:J80,5)</f>
        <v>#REF!</v>
      </c>
      <c r="J86" s="468" t="e">
        <f>VLOOKUP(G64,E78:J80,6)</f>
        <v>#REF!</v>
      </c>
      <c r="K86" s="468" t="e">
        <f>VLOOKUP(G64,E78:K80,7)</f>
        <v>#REF!</v>
      </c>
      <c r="L86" s="468" t="e">
        <f>VLOOKUP(G64,E78:L80,8)</f>
        <v>#REF!</v>
      </c>
      <c r="M86" s="469"/>
      <c r="N86" s="444"/>
      <c r="O86" s="444"/>
      <c r="P86" s="444"/>
      <c r="Q86" s="444"/>
    </row>
    <row r="87" spans="1:17" x14ac:dyDescent="0.3">
      <c r="A87" s="446"/>
      <c r="B87" s="1245" t="s">
        <v>352</v>
      </c>
      <c r="C87" s="1246"/>
      <c r="D87" s="1246"/>
      <c r="E87" s="1247"/>
      <c r="F87" s="74"/>
      <c r="G87" s="470" t="e">
        <f t="shared" ref="G87:L87" si="2">G86-G85</f>
        <v>#REF!</v>
      </c>
      <c r="H87" s="470" t="e">
        <f t="shared" si="2"/>
        <v>#REF!</v>
      </c>
      <c r="I87" s="470" t="e">
        <f t="shared" si="2"/>
        <v>#REF!</v>
      </c>
      <c r="J87" s="470" t="e">
        <f t="shared" si="2"/>
        <v>#REF!</v>
      </c>
      <c r="K87" s="470" t="e">
        <f t="shared" si="2"/>
        <v>#REF!</v>
      </c>
      <c r="L87" s="470" t="e">
        <f t="shared" si="2"/>
        <v>#REF!</v>
      </c>
      <c r="M87" s="471"/>
      <c r="N87" s="444"/>
      <c r="O87" s="444"/>
      <c r="P87" s="444"/>
      <c r="Q87" s="444"/>
    </row>
    <row r="88" spans="1:17" x14ac:dyDescent="0.3">
      <c r="A88" s="446"/>
      <c r="B88" s="1238" t="s">
        <v>353</v>
      </c>
      <c r="C88" s="1238"/>
      <c r="D88" s="1238"/>
      <c r="E88" s="1238"/>
      <c r="F88" s="74"/>
      <c r="G88" s="470" t="e">
        <f>G62-H70</f>
        <v>#REF!</v>
      </c>
      <c r="H88" s="472" t="e">
        <f>G64</f>
        <v>#REF!</v>
      </c>
      <c r="I88" s="470" t="e">
        <f>I62-J70</f>
        <v>#REF!</v>
      </c>
      <c r="J88" s="472" t="e">
        <f>G64</f>
        <v>#REF!</v>
      </c>
      <c r="K88" s="470" t="e">
        <f>K62-L70</f>
        <v>#REF!</v>
      </c>
      <c r="L88" s="472" t="e">
        <f>G64</f>
        <v>#REF!</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t="e">
        <f t="shared" ref="G93:L93" si="3">G85</f>
        <v>#REF!</v>
      </c>
      <c r="H93" s="468" t="e">
        <f t="shared" si="3"/>
        <v>#REF!</v>
      </c>
      <c r="I93" s="468" t="e">
        <f t="shared" si="3"/>
        <v>#REF!</v>
      </c>
      <c r="J93" s="468" t="e">
        <f t="shared" si="3"/>
        <v>#REF!</v>
      </c>
      <c r="K93" s="468" t="e">
        <f t="shared" si="3"/>
        <v>#REF!</v>
      </c>
      <c r="L93" s="468" t="e">
        <f t="shared" si="3"/>
        <v>#REF!</v>
      </c>
      <c r="M93" s="469"/>
    </row>
    <row r="94" spans="1:17" x14ac:dyDescent="0.3">
      <c r="A94" s="446"/>
      <c r="B94" s="1238" t="s">
        <v>356</v>
      </c>
      <c r="C94" s="1238"/>
      <c r="D94" s="1238"/>
      <c r="E94" s="1238"/>
      <c r="F94" s="473"/>
      <c r="G94" s="468" t="e">
        <f>G88</f>
        <v>#REF!</v>
      </c>
      <c r="H94" s="468" t="e">
        <f>G88</f>
        <v>#REF!</v>
      </c>
      <c r="I94" s="468" t="e">
        <f>I88</f>
        <v>#REF!</v>
      </c>
      <c r="J94" s="468" t="e">
        <f>I88</f>
        <v>#REF!</v>
      </c>
      <c r="K94" s="468" t="e">
        <f>K88</f>
        <v>#REF!</v>
      </c>
      <c r="L94" s="468" t="e">
        <f>K88</f>
        <v>#REF!</v>
      </c>
      <c r="M94" s="469"/>
    </row>
    <row r="95" spans="1:17" x14ac:dyDescent="0.3">
      <c r="A95" s="446"/>
      <c r="B95" s="1238" t="s">
        <v>357</v>
      </c>
      <c r="C95" s="1238"/>
      <c r="D95" s="1238"/>
      <c r="E95" s="1238"/>
      <c r="F95" s="473"/>
      <c r="G95" s="468" t="e">
        <f t="shared" ref="G95:L95" si="4">G87</f>
        <v>#REF!</v>
      </c>
      <c r="H95" s="468" t="e">
        <f t="shared" si="4"/>
        <v>#REF!</v>
      </c>
      <c r="I95" s="468" t="e">
        <f t="shared" si="4"/>
        <v>#REF!</v>
      </c>
      <c r="J95" s="468" t="e">
        <f t="shared" si="4"/>
        <v>#REF!</v>
      </c>
      <c r="K95" s="468" t="e">
        <f t="shared" si="4"/>
        <v>#REF!</v>
      </c>
      <c r="L95" s="468" t="e">
        <f t="shared" si="4"/>
        <v>#REF!</v>
      </c>
      <c r="M95" s="469"/>
    </row>
    <row r="96" spans="1:17" x14ac:dyDescent="0.3">
      <c r="A96" s="446"/>
      <c r="B96" s="1238" t="s">
        <v>358</v>
      </c>
      <c r="C96" s="1238"/>
      <c r="D96" s="1238"/>
      <c r="E96" s="1238"/>
      <c r="F96" s="473"/>
      <c r="G96" s="468" t="e">
        <f>H76-H70</f>
        <v>#REF!</v>
      </c>
      <c r="H96" s="468" t="e">
        <f>H76-H70</f>
        <v>#REF!</v>
      </c>
      <c r="I96" s="468" t="e">
        <f>J76-J70</f>
        <v>#REF!</v>
      </c>
      <c r="J96" s="468" t="e">
        <f>J76-J70</f>
        <v>#REF!</v>
      </c>
      <c r="K96" s="468" t="e">
        <f>L76-L70</f>
        <v>#REF!</v>
      </c>
      <c r="L96" s="468" t="e">
        <f>L76-L70</f>
        <v>#REF!</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t="e">
        <f>IF(G96=0,0,G93+((G94*G95)/G96))</f>
        <v>#REF!</v>
      </c>
      <c r="I98" s="74"/>
      <c r="J98" s="476" t="e">
        <f>IF(I96=0,0,I93+((I94*I95)/I96))</f>
        <v>#REF!</v>
      </c>
      <c r="K98" s="74"/>
      <c r="L98" s="476" t="e">
        <f>IF(K96=0,0,K93+((K94*K95)/K96))</f>
        <v>#REF!</v>
      </c>
      <c r="M98" s="73"/>
    </row>
    <row r="99" spans="1:13" x14ac:dyDescent="0.3">
      <c r="A99" s="446"/>
      <c r="B99" s="394" t="s">
        <v>359</v>
      </c>
      <c r="C99" s="461"/>
      <c r="D99" s="475" t="s">
        <v>339</v>
      </c>
      <c r="E99" s="393"/>
      <c r="F99" s="469"/>
      <c r="G99" s="74"/>
      <c r="H99" s="477" t="e">
        <f>((H102-H98)*0.25)+H98</f>
        <v>#REF!</v>
      </c>
      <c r="I99" s="74"/>
      <c r="J99" s="477" t="e">
        <f>((J102-J98)*0.25)+J98</f>
        <v>#REF!</v>
      </c>
      <c r="K99" s="74"/>
      <c r="L99" s="477" t="e">
        <f>((L102-L98)*0.25)+L98</f>
        <v>#REF!</v>
      </c>
      <c r="M99" s="73"/>
    </row>
    <row r="100" spans="1:13" x14ac:dyDescent="0.3">
      <c r="A100" s="446"/>
      <c r="B100" s="394"/>
      <c r="C100" s="461"/>
      <c r="D100" s="475" t="s">
        <v>340</v>
      </c>
      <c r="E100" s="393"/>
      <c r="F100" s="469"/>
      <c r="G100" s="74"/>
      <c r="H100" s="477" t="e">
        <f>(H102+H98)/2</f>
        <v>#REF!</v>
      </c>
      <c r="I100" s="74"/>
      <c r="J100" s="477" t="e">
        <f>(J102+J98)/2</f>
        <v>#REF!</v>
      </c>
      <c r="K100" s="74"/>
      <c r="L100" s="477" t="e">
        <f>(L102+L98)/2</f>
        <v>#REF!</v>
      </c>
      <c r="M100" s="73"/>
    </row>
    <row r="101" spans="1:13" x14ac:dyDescent="0.3">
      <c r="A101" s="446"/>
      <c r="B101" s="394" t="s">
        <v>360</v>
      </c>
      <c r="C101" s="461"/>
      <c r="D101" s="475" t="s">
        <v>341</v>
      </c>
      <c r="E101" s="393"/>
      <c r="F101" s="469"/>
      <c r="G101" s="74"/>
      <c r="H101" s="477" t="e">
        <f>((H102-H98)*0.75)+H98</f>
        <v>#REF!</v>
      </c>
      <c r="I101" s="74"/>
      <c r="J101" s="477" t="e">
        <f>((J102-J98)*0.75)+J98</f>
        <v>#REF!</v>
      </c>
      <c r="K101" s="74"/>
      <c r="L101" s="477" t="e">
        <f>((L102-L98)*0.75)+L98</f>
        <v>#REF!</v>
      </c>
      <c r="M101" s="73"/>
    </row>
    <row r="102" spans="1:13" ht="15.2" thickBot="1" x14ac:dyDescent="0.35">
      <c r="A102" s="446"/>
      <c r="B102" s="395"/>
      <c r="C102" s="461"/>
      <c r="D102" s="475" t="s">
        <v>342</v>
      </c>
      <c r="E102" s="393"/>
      <c r="F102" s="469"/>
      <c r="G102" s="74"/>
      <c r="H102" s="478" t="e">
        <f>IF(H96=0,0,H93+((H94*H95)/H96))</f>
        <v>#REF!</v>
      </c>
      <c r="I102" s="74"/>
      <c r="J102" s="478" t="e">
        <f>IF(J96=0,0,J93+((J94*J95)/J96))</f>
        <v>#REF!</v>
      </c>
      <c r="K102" s="74"/>
      <c r="L102" s="478" t="e">
        <f>IF(L96=0,0,L93+((L94*L95)/L96))</f>
        <v>#REF!</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t="e">
        <f>G64</f>
        <v>#REF!</v>
      </c>
      <c r="H105" s="480" t="e">
        <f>IF(G65="Basishonorarsatz",H98,IF(G65="Viertelsatz",H99,IF(G65="Mittelsatz",H100,IF(G65="Dreiviertelsatz",H101,H102))))</f>
        <v>#REF!</v>
      </c>
      <c r="I105" s="481" t="e">
        <f>G64</f>
        <v>#REF!</v>
      </c>
      <c r="J105" s="480" t="e">
        <f>IF(G65="Basishonorarsatz",J98,IF(G65="Viertelsatz",J99,IF(G65="Mittelsatz",J100,IF(G65="Dreiviertelsatz",J101,J102))))</f>
        <v>#REF!</v>
      </c>
      <c r="K105" s="481" t="e">
        <f>G64</f>
        <v>#REF!</v>
      </c>
      <c r="L105" s="480" t="e">
        <f>IF(G65="Basishonorarsatz",L98,IF(G65="Viertelsatz",L99,IF(G65="Mittelsatz",L100,IF(G65="Dreiviertelsatz",L101,L102))))</f>
        <v>#REF!</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t="e">
        <f>IF(#REF!="ja",#REF!,0)</f>
        <v>#REF!</v>
      </c>
      <c r="D109" s="1281"/>
      <c r="E109" s="1282" t="e">
        <f>IF(#REF!="ja",#REF!,0)</f>
        <v>#REF!</v>
      </c>
      <c r="F109" s="1273"/>
      <c r="G109" s="490" t="e">
        <f>C109*1.1+E109</f>
        <v>#REF!</v>
      </c>
    </row>
    <row r="110" spans="1:13" x14ac:dyDescent="0.3">
      <c r="B110" s="491">
        <v>2</v>
      </c>
      <c r="C110" s="1158" t="e">
        <f>IF(#REF!="ja",#REF!,0)</f>
        <v>#REF!</v>
      </c>
      <c r="D110" s="1274"/>
      <c r="E110" s="1275" t="e">
        <f>IF(#REF!="ja",#REF!,0)</f>
        <v>#REF!</v>
      </c>
      <c r="F110" s="1159"/>
      <c r="G110" s="490" t="e">
        <f t="shared" ref="G110:G122" si="5">C110*1.1+E110</f>
        <v>#REF!</v>
      </c>
    </row>
    <row r="111" spans="1:13" x14ac:dyDescent="0.3">
      <c r="B111" s="491">
        <v>3</v>
      </c>
      <c r="C111" s="1158" t="e">
        <f>IF(#REF!="ja",#REF!,0)</f>
        <v>#REF!</v>
      </c>
      <c r="D111" s="1274"/>
      <c r="E111" s="1275" t="e">
        <f>IF(#REF!="ja",#REF!,0)</f>
        <v>#REF!</v>
      </c>
      <c r="F111" s="1159"/>
      <c r="G111" s="490" t="e">
        <f t="shared" si="5"/>
        <v>#REF!</v>
      </c>
    </row>
    <row r="112" spans="1:13" x14ac:dyDescent="0.3">
      <c r="B112" s="491">
        <v>4</v>
      </c>
      <c r="C112" s="1158" t="e">
        <f>IF(#REF!="ja",#REF!,0)</f>
        <v>#REF!</v>
      </c>
      <c r="D112" s="1274"/>
      <c r="E112" s="1275" t="e">
        <f>IF(#REF!="ja",#REF!,0)</f>
        <v>#REF!</v>
      </c>
      <c r="F112" s="1159"/>
      <c r="G112" s="490" t="e">
        <f t="shared" si="5"/>
        <v>#REF!</v>
      </c>
    </row>
    <row r="113" spans="2:7" x14ac:dyDescent="0.3">
      <c r="B113" s="491" t="s">
        <v>371</v>
      </c>
      <c r="C113" s="1158" t="e">
        <f>IF(#REF!="ja",#REF!,0)</f>
        <v>#REF!</v>
      </c>
      <c r="D113" s="1274"/>
      <c r="E113" s="1275" t="e">
        <f>IF(#REF!="ja",#REF!+#REF!,0)</f>
        <v>#REF!</v>
      </c>
      <c r="F113" s="1159"/>
      <c r="G113" s="490" t="e">
        <f t="shared" si="5"/>
        <v>#REF!</v>
      </c>
    </row>
    <row r="114" spans="2:7" x14ac:dyDescent="0.3">
      <c r="B114" s="491" t="s">
        <v>372</v>
      </c>
      <c r="C114" s="1158" t="e">
        <f>IF(#REF!="ja",#REF!,0)</f>
        <v>#REF!</v>
      </c>
      <c r="D114" s="1274"/>
      <c r="E114" s="1275" t="e">
        <f>IF(#REF!="ja",#REF!+#REF!+#REF!+#REF!,0)</f>
        <v>#REF!</v>
      </c>
      <c r="F114" s="1159"/>
      <c r="G114" s="490" t="e">
        <f t="shared" si="5"/>
        <v>#REF!</v>
      </c>
    </row>
    <row r="115" spans="2:7" x14ac:dyDescent="0.3">
      <c r="B115" s="491" t="s">
        <v>373</v>
      </c>
      <c r="C115" s="1158" t="e">
        <f>IF(#REF!="ja",#REF!,0)</f>
        <v>#REF!</v>
      </c>
      <c r="D115" s="1274"/>
      <c r="E115" s="1275" t="e">
        <f>IF(#REF!="ja",#REF!,0)</f>
        <v>#REF!</v>
      </c>
      <c r="F115" s="1159"/>
      <c r="G115" s="490" t="e">
        <f t="shared" si="5"/>
        <v>#REF!</v>
      </c>
    </row>
    <row r="116" spans="2:7" x14ac:dyDescent="0.3">
      <c r="B116" s="491" t="s">
        <v>374</v>
      </c>
      <c r="C116" s="1158" t="e">
        <f>IF(#REF!="ja",#REF!,0)</f>
        <v>#REF!</v>
      </c>
      <c r="D116" s="1274"/>
      <c r="E116" s="1275" t="e">
        <f>IF(#REF!="ja",#REF!,0)</f>
        <v>#REF!</v>
      </c>
      <c r="F116" s="1159"/>
      <c r="G116" s="490" t="e">
        <f t="shared" si="5"/>
        <v>#REF!</v>
      </c>
    </row>
    <row r="117" spans="2:7" x14ac:dyDescent="0.3">
      <c r="B117" s="491" t="s">
        <v>375</v>
      </c>
      <c r="C117" s="1158" t="e">
        <f>IF(#REF!="ja",#REF!,0)</f>
        <v>#REF!</v>
      </c>
      <c r="D117" s="1274"/>
      <c r="E117" s="1275" t="e">
        <f>IF(#REF!="ja",#REF!+#REF!,0)</f>
        <v>#REF!</v>
      </c>
      <c r="F117" s="1159"/>
      <c r="G117" s="490" t="e">
        <f t="shared" si="5"/>
        <v>#REF!</v>
      </c>
    </row>
    <row r="118" spans="2:7" x14ac:dyDescent="0.3">
      <c r="B118" s="491" t="s">
        <v>376</v>
      </c>
      <c r="C118" s="1158" t="e">
        <f>IF(#REF!="ja",#REF!,0)</f>
        <v>#REF!</v>
      </c>
      <c r="D118" s="1274"/>
      <c r="E118" s="1275" t="e">
        <f>IF(#REF!="ja",#REF!,0)</f>
        <v>#REF!</v>
      </c>
      <c r="F118" s="1159"/>
      <c r="G118" s="490" t="e">
        <f t="shared" si="5"/>
        <v>#REF!</v>
      </c>
    </row>
    <row r="119" spans="2:7" x14ac:dyDescent="0.3">
      <c r="B119" s="492">
        <v>6</v>
      </c>
      <c r="C119" s="1158" t="e">
        <f>IF(#REF!="ja",#REF!,0)</f>
        <v>#REF!</v>
      </c>
      <c r="D119" s="1274"/>
      <c r="E119" s="1275" t="e">
        <f>IF(#REF!="ja",#REF!,0)</f>
        <v>#REF!</v>
      </c>
      <c r="F119" s="1159"/>
      <c r="G119" s="490" t="e">
        <f t="shared" si="5"/>
        <v>#REF!</v>
      </c>
    </row>
    <row r="120" spans="2:7" x14ac:dyDescent="0.3">
      <c r="B120" s="492">
        <v>7</v>
      </c>
      <c r="C120" s="1158" t="e">
        <f>IF(#REF!="ja",#REF!,0)</f>
        <v>#REF!</v>
      </c>
      <c r="D120" s="1274"/>
      <c r="E120" s="1275" t="e">
        <f>IF(#REF!="ja",#REF!,0)</f>
        <v>#REF!</v>
      </c>
      <c r="F120" s="1159"/>
      <c r="G120" s="490" t="e">
        <f t="shared" si="5"/>
        <v>#REF!</v>
      </c>
    </row>
    <row r="121" spans="2:7" x14ac:dyDescent="0.3">
      <c r="B121" s="492">
        <v>8</v>
      </c>
      <c r="C121" s="1276" t="e">
        <f>IF(#REF!="ja",#REF!,0)</f>
        <v>#REF!</v>
      </c>
      <c r="D121" s="1277"/>
      <c r="E121" s="1275" t="e">
        <f>IF(#REF!="ja",#REF!,0)</f>
        <v>#REF!</v>
      </c>
      <c r="F121" s="1159"/>
      <c r="G121" s="490" t="e">
        <f t="shared" si="5"/>
        <v>#REF!</v>
      </c>
    </row>
    <row r="122" spans="2:7" ht="15.2" thickBot="1" x14ac:dyDescent="0.35">
      <c r="B122" s="493">
        <v>9</v>
      </c>
      <c r="C122" s="1278" t="e">
        <f>IF(#REF!="ja",#REF!,0)</f>
        <v>#REF!</v>
      </c>
      <c r="D122" s="1279"/>
      <c r="E122" s="1280" t="e">
        <f>IF(#REF!="ja",#REF!,0)</f>
        <v>#REF!</v>
      </c>
      <c r="F122" s="1279"/>
      <c r="G122" s="490" t="e">
        <f t="shared" si="5"/>
        <v>#REF!</v>
      </c>
    </row>
    <row r="123" spans="2:7" ht="15.2" thickBot="1" x14ac:dyDescent="0.35">
      <c r="B123" s="494" t="s">
        <v>476</v>
      </c>
      <c r="C123" s="1216" t="e">
        <f>SUM(C109:D122)</f>
        <v>#REF!</v>
      </c>
      <c r="D123" s="1217"/>
      <c r="E123" s="1220" t="e">
        <f>SUM(E109:F122)</f>
        <v>#REF!</v>
      </c>
      <c r="F123" s="1221"/>
    </row>
    <row r="124" spans="2:7" ht="15.2" thickBot="1" x14ac:dyDescent="0.35"/>
    <row r="125" spans="2:7" ht="15.2" thickBot="1" x14ac:dyDescent="0.35">
      <c r="B125" s="495" t="s">
        <v>380</v>
      </c>
      <c r="C125" s="1250" t="e">
        <f>C123*#REF!+C123</f>
        <v>#REF!</v>
      </c>
      <c r="D125" s="1251"/>
      <c r="E125" s="1250" t="e">
        <f>#REF!</f>
        <v>#REF!</v>
      </c>
      <c r="F125" s="1251"/>
    </row>
    <row r="128" spans="2:7" x14ac:dyDescent="0.3">
      <c r="B128" s="384" t="s">
        <v>479</v>
      </c>
      <c r="D128" s="496">
        <f>Überblick!G97</f>
        <v>0.19</v>
      </c>
    </row>
    <row r="130" spans="2:17" ht="15.2" thickBot="1" x14ac:dyDescent="0.35">
      <c r="B130" s="495" t="s">
        <v>478</v>
      </c>
      <c r="C130" s="1250" t="e">
        <f>C125*D128+C125</f>
        <v>#REF!</v>
      </c>
      <c r="D130" s="1251"/>
      <c r="E130" s="1250" t="e">
        <f>E125*D128+E125</f>
        <v>#REF!</v>
      </c>
      <c r="F130" s="1251"/>
    </row>
    <row r="132" spans="2:17" x14ac:dyDescent="0.3">
      <c r="B132" s="384" t="s">
        <v>480</v>
      </c>
      <c r="E132" s="1248" t="e">
        <f>C130+E130</f>
        <v>#REF!</v>
      </c>
      <c r="F132" s="1249"/>
    </row>
    <row r="133" spans="2:17" ht="15.2" thickBot="1" x14ac:dyDescent="0.35"/>
    <row r="134" spans="2:17" ht="15.2" thickBot="1" x14ac:dyDescent="0.35">
      <c r="B134" s="544" t="s">
        <v>115</v>
      </c>
      <c r="C134" s="498" t="s">
        <v>306</v>
      </c>
      <c r="D134" s="499" t="s">
        <v>307</v>
      </c>
      <c r="E134" s="499" t="s">
        <v>308</v>
      </c>
      <c r="F134" s="499" t="s">
        <v>309</v>
      </c>
      <c r="G134" s="499" t="s">
        <v>310</v>
      </c>
      <c r="H134" s="499" t="s">
        <v>311</v>
      </c>
      <c r="I134" s="499" t="s">
        <v>312</v>
      </c>
      <c r="J134" s="499" t="s">
        <v>313</v>
      </c>
      <c r="K134" s="499" t="s">
        <v>314</v>
      </c>
      <c r="L134" s="499" t="s">
        <v>315</v>
      </c>
      <c r="M134" s="499" t="s">
        <v>316</v>
      </c>
      <c r="N134" s="499" t="s">
        <v>317</v>
      </c>
      <c r="O134" s="499" t="s">
        <v>318</v>
      </c>
      <c r="P134" s="499" t="s">
        <v>379</v>
      </c>
      <c r="Q134" s="500" t="s">
        <v>380</v>
      </c>
    </row>
    <row r="135" spans="2:17" x14ac:dyDescent="0.3">
      <c r="B135" s="575">
        <f>IF(Überblick!$H$53&gt;=1,1,"")</f>
        <v>1</v>
      </c>
      <c r="C135" s="507" t="e">
        <f>IF($B135=#REF!,#REF!*#REF!+#REF!+#REF!,0)</f>
        <v>#REF!</v>
      </c>
      <c r="D135" s="507" t="e">
        <f>IF($B135=#REF!,#REF!*#REF!+#REF!+#REF!,0)</f>
        <v>#REF!</v>
      </c>
      <c r="E135" s="507" t="e">
        <f>IF($B135=#REF!,#REF!*#REF!+#REF!+#REF!,0)</f>
        <v>#REF!</v>
      </c>
      <c r="F135" s="507" t="e">
        <f>IF($B135=#REF!,#REF!*#REF!+#REF!+#REF!,0)</f>
        <v>#REF!</v>
      </c>
      <c r="G135" s="507" t="e">
        <f>IF($B135=#REF!,#REF!*#REF!+#REF!+#REF!+#REF!,0)</f>
        <v>#REF!</v>
      </c>
      <c r="H135" s="507" t="e">
        <f>IF($B135=#REF!,#REF!*#REF!+#REF!+#REF!+#REF!+#REF!+#REF!,0)</f>
        <v>#REF!</v>
      </c>
      <c r="I135" s="507" t="e">
        <f>IF($B135=#REF!,#REF!*#REF!+#REF!+#REF!,0)</f>
        <v>#REF!</v>
      </c>
      <c r="J135" s="507" t="e">
        <f>IF($B135=#REF!,#REF!*#REF!+#REF!+#REF!,0)</f>
        <v>#REF!</v>
      </c>
      <c r="K135" s="507" t="e">
        <f>IF($B135=#REF!,#REF!*#REF!+#REF!+#REF!+#REF!,0)</f>
        <v>#REF!</v>
      </c>
      <c r="L135" s="507" t="e">
        <f>IF($B135=#REF!,#REF!*#REF!+#REF!+#REF!,0)</f>
        <v>#REF!</v>
      </c>
      <c r="M135" s="507" t="e">
        <f>IF($B135=#REF!,#REF!*#REF!+#REF!+#REF!,0)</f>
        <v>#REF!</v>
      </c>
      <c r="N135" s="507" t="e">
        <f>IF($B135=#REF!,#REF!*#REF!+#REF!+#REF!,0)</f>
        <v>#REF!</v>
      </c>
      <c r="O135" s="507" t="e">
        <f>IF($B135=#REF!,#REF!*#REF!+#REF!+#REF!,0)</f>
        <v>#REF!</v>
      </c>
      <c r="P135" s="507" t="e">
        <f>IF($B135=#REF!,#REF!*#REF!+#REF!+#REF!,0)</f>
        <v>#REF!</v>
      </c>
      <c r="Q135" s="576" t="e">
        <f>SUM(C135:P135)</f>
        <v>#REF!</v>
      </c>
    </row>
    <row r="136" spans="2:17" x14ac:dyDescent="0.3">
      <c r="B136" s="571">
        <f>IF(Überblick!$H$53&gt;=2,2,"")</f>
        <v>2</v>
      </c>
      <c r="C136" s="507" t="e">
        <f>IF($B136=#REF!,#REF!*#REF!+#REF!+#REF!,0)</f>
        <v>#REF!</v>
      </c>
      <c r="D136" s="507" t="e">
        <f>IF($B136=#REF!,#REF!*#REF!+#REF!+#REF!,0)</f>
        <v>#REF!</v>
      </c>
      <c r="E136" s="507" t="e">
        <f>IF($B136=#REF!,#REF!*#REF!+#REF!+#REF!,0)</f>
        <v>#REF!</v>
      </c>
      <c r="F136" s="507" t="e">
        <f>IF($B136=#REF!,#REF!*#REF!+#REF!+#REF!,0)</f>
        <v>#REF!</v>
      </c>
      <c r="G136" s="507" t="e">
        <f>IF($B136=#REF!,#REF!*#REF!+#REF!+#REF!+#REF!,0)</f>
        <v>#REF!</v>
      </c>
      <c r="H136" s="507" t="e">
        <f>IF($B136=#REF!,#REF!*#REF!+#REF!+#REF!+#REF!+#REF!+#REF!,0)</f>
        <v>#REF!</v>
      </c>
      <c r="I136" s="507" t="e">
        <f>IF($B136=#REF!,#REF!*#REF!+#REF!+#REF!,0)</f>
        <v>#REF!</v>
      </c>
      <c r="J136" s="507" t="e">
        <f>IF($B136=#REF!,#REF!*#REF!+#REF!+#REF!,0)</f>
        <v>#REF!</v>
      </c>
      <c r="K136" s="507" t="e">
        <f>IF($B136=#REF!,#REF!*#REF!+#REF!+#REF!+#REF!,0)</f>
        <v>#REF!</v>
      </c>
      <c r="L136" s="507" t="e">
        <f>IF($B136=#REF!,#REF!*#REF!+#REF!+#REF!,0)</f>
        <v>#REF!</v>
      </c>
      <c r="M136" s="507" t="e">
        <f>IF($B136=#REF!,#REF!*#REF!+#REF!+#REF!,0)</f>
        <v>#REF!</v>
      </c>
      <c r="N136" s="507" t="e">
        <f>IF($B136=#REF!,#REF!*#REF!+#REF!+#REF!,0)</f>
        <v>#REF!</v>
      </c>
      <c r="O136" s="507" t="e">
        <f>IF($B136=#REF!,#REF!*#REF!+#REF!+#REF!,0)</f>
        <v>#REF!</v>
      </c>
      <c r="P136" s="507" t="e">
        <f>IF($B136=#REF!,#REF!*#REF!+#REF!+#REF!,0)</f>
        <v>#REF!</v>
      </c>
      <c r="Q136" s="576" t="e">
        <f t="shared" ref="Q136:Q142" si="6">SUM(C136:P136)</f>
        <v>#REF!</v>
      </c>
    </row>
    <row r="137" spans="2:17" x14ac:dyDescent="0.3">
      <c r="B137" s="571">
        <f>IF(Überblick!$H$53&gt;=3,3,"")</f>
        <v>3</v>
      </c>
      <c r="C137" s="507" t="e">
        <f>IF($B137=#REF!,#REF!*#REF!+#REF!+#REF!,0)</f>
        <v>#REF!</v>
      </c>
      <c r="D137" s="507" t="e">
        <f>IF($B137=#REF!,#REF!*#REF!+#REF!+#REF!,0)</f>
        <v>#REF!</v>
      </c>
      <c r="E137" s="507" t="e">
        <f>IF($B137=#REF!,#REF!*#REF!+#REF!+#REF!,0)</f>
        <v>#REF!</v>
      </c>
      <c r="F137" s="507" t="e">
        <f>IF($B137=#REF!,#REF!*#REF!+#REF!+#REF!,0)</f>
        <v>#REF!</v>
      </c>
      <c r="G137" s="507" t="e">
        <f>IF($B137=#REF!,#REF!*#REF!+#REF!+#REF!+#REF!,0)</f>
        <v>#REF!</v>
      </c>
      <c r="H137" s="507" t="e">
        <f>IF($B137=#REF!,#REF!*#REF!+#REF!+#REF!+#REF!+#REF!+#REF!,0)</f>
        <v>#REF!</v>
      </c>
      <c r="I137" s="507" t="e">
        <f>IF($B137=#REF!,#REF!*#REF!+#REF!+#REF!,0)</f>
        <v>#REF!</v>
      </c>
      <c r="J137" s="507" t="e">
        <f>IF($B137=#REF!,#REF!*#REF!+#REF!+#REF!,0)</f>
        <v>#REF!</v>
      </c>
      <c r="K137" s="507" t="e">
        <f>IF($B137=#REF!,#REF!*#REF!+#REF!+#REF!+#REF!,0)</f>
        <v>#REF!</v>
      </c>
      <c r="L137" s="507" t="e">
        <f>IF($B137=#REF!,#REF!*#REF!+#REF!+#REF!,0)</f>
        <v>#REF!</v>
      </c>
      <c r="M137" s="507" t="e">
        <f>IF($B137=#REF!,#REF!*#REF!+#REF!+#REF!,0)</f>
        <v>#REF!</v>
      </c>
      <c r="N137" s="507" t="e">
        <f>IF($B137=#REF!,#REF!*#REF!+#REF!+#REF!,0)</f>
        <v>#REF!</v>
      </c>
      <c r="O137" s="507" t="e">
        <f>IF($B137=#REF!,#REF!*#REF!+#REF!+#REF!,0)</f>
        <v>#REF!</v>
      </c>
      <c r="P137" s="507" t="e">
        <f>IF($B137=#REF!,#REF!*#REF!+#REF!+#REF!,0)</f>
        <v>#REF!</v>
      </c>
      <c r="Q137" s="576" t="e">
        <f t="shared" si="6"/>
        <v>#REF!</v>
      </c>
    </row>
    <row r="138" spans="2:17" x14ac:dyDescent="0.3">
      <c r="B138" s="571" t="str">
        <f>IF(Überblick!$H$53&gt;=4,4,"")</f>
        <v/>
      </c>
      <c r="C138" s="507" t="e">
        <f>IF($B138=#REF!,#REF!*#REF!+#REF!+#REF!,0)</f>
        <v>#REF!</v>
      </c>
      <c r="D138" s="507" t="e">
        <f>IF($B138=#REF!,#REF!*#REF!+#REF!+#REF!,0)</f>
        <v>#REF!</v>
      </c>
      <c r="E138" s="507" t="e">
        <f>IF($B138=#REF!,#REF!*#REF!+#REF!+#REF!,0)</f>
        <v>#REF!</v>
      </c>
      <c r="F138" s="507" t="e">
        <f>IF($B138=#REF!,#REF!*#REF!+#REF!+#REF!,0)</f>
        <v>#REF!</v>
      </c>
      <c r="G138" s="507" t="e">
        <f>IF($B138=#REF!,#REF!*#REF!+#REF!+#REF!+#REF!,0)</f>
        <v>#REF!</v>
      </c>
      <c r="H138" s="507" t="e">
        <f>IF($B138=#REF!,#REF!*#REF!+#REF!+#REF!+#REF!+#REF!+#REF!,0)</f>
        <v>#REF!</v>
      </c>
      <c r="I138" s="507" t="e">
        <f>IF($B138=#REF!,#REF!*#REF!+#REF!+#REF!,0)</f>
        <v>#REF!</v>
      </c>
      <c r="J138" s="507" t="e">
        <f>IF($B138=#REF!,#REF!*#REF!+#REF!+#REF!,0)</f>
        <v>#REF!</v>
      </c>
      <c r="K138" s="507" t="e">
        <f>IF($B138=#REF!,#REF!*#REF!+#REF!+#REF!+#REF!,0)</f>
        <v>#REF!</v>
      </c>
      <c r="L138" s="507" t="e">
        <f>IF($B138=#REF!,#REF!*#REF!+#REF!+#REF!,0)</f>
        <v>#REF!</v>
      </c>
      <c r="M138" s="507" t="e">
        <f>IF($B138=#REF!,#REF!*#REF!+#REF!+#REF!,0)</f>
        <v>#REF!</v>
      </c>
      <c r="N138" s="507" t="e">
        <f>IF($B138=#REF!,#REF!*#REF!+#REF!+#REF!,0)</f>
        <v>#REF!</v>
      </c>
      <c r="O138" s="507" t="e">
        <f>IF($B138=#REF!,#REF!*#REF!+#REF!+#REF!,0)</f>
        <v>#REF!</v>
      </c>
      <c r="P138" s="507" t="e">
        <f>IF($B138=#REF!,#REF!*#REF!+#REF!+#REF!,0)</f>
        <v>#REF!</v>
      </c>
      <c r="Q138" s="576" t="e">
        <f t="shared" si="6"/>
        <v>#REF!</v>
      </c>
    </row>
    <row r="139" spans="2:17" x14ac:dyDescent="0.3">
      <c r="B139" s="571" t="str">
        <f>IF(Überblick!$H$53&gt;=5,5,"")</f>
        <v/>
      </c>
      <c r="C139" s="507" t="e">
        <f>IF($B139=#REF!,#REF!*#REF!+#REF!+#REF!,0)</f>
        <v>#REF!</v>
      </c>
      <c r="D139" s="507" t="e">
        <f>IF($B139=#REF!,#REF!*#REF!+#REF!+#REF!,0)</f>
        <v>#REF!</v>
      </c>
      <c r="E139" s="507" t="e">
        <f>IF($B139=#REF!,#REF!*#REF!+#REF!+#REF!,0)</f>
        <v>#REF!</v>
      </c>
      <c r="F139" s="507" t="e">
        <f>IF($B139=#REF!,#REF!*#REF!+#REF!+#REF!,0)</f>
        <v>#REF!</v>
      </c>
      <c r="G139" s="507" t="e">
        <f>IF($B139=#REF!,#REF!*#REF!+#REF!+#REF!+#REF!,0)</f>
        <v>#REF!</v>
      </c>
      <c r="H139" s="507" t="e">
        <f>IF($B139=#REF!,#REF!*#REF!+#REF!+#REF!+#REF!+#REF!+#REF!,0)</f>
        <v>#REF!</v>
      </c>
      <c r="I139" s="507" t="e">
        <f>IF($B139=#REF!,#REF!*#REF!+#REF!+#REF!,0)</f>
        <v>#REF!</v>
      </c>
      <c r="J139" s="507" t="e">
        <f>IF($B139=#REF!,#REF!*#REF!+#REF!+#REF!,0)</f>
        <v>#REF!</v>
      </c>
      <c r="K139" s="507" t="e">
        <f>IF($B139=#REF!,#REF!*#REF!+#REF!+#REF!+#REF!,0)</f>
        <v>#REF!</v>
      </c>
      <c r="L139" s="507" t="e">
        <f>IF($B139=#REF!,#REF!*#REF!+#REF!+#REF!,0)</f>
        <v>#REF!</v>
      </c>
      <c r="M139" s="507" t="e">
        <f>IF($B139=#REF!,#REF!*#REF!+#REF!+#REF!,0)</f>
        <v>#REF!</v>
      </c>
      <c r="N139" s="507" t="e">
        <f>IF($B139=#REF!,#REF!*#REF!+#REF!+#REF!,0)</f>
        <v>#REF!</v>
      </c>
      <c r="O139" s="507" t="e">
        <f>IF($B139=#REF!,#REF!*#REF!+#REF!+#REF!,0)</f>
        <v>#REF!</v>
      </c>
      <c r="P139" s="507" t="e">
        <f>IF($B139=#REF!,#REF!*#REF!+#REF!+#REF!,0)</f>
        <v>#REF!</v>
      </c>
      <c r="Q139" s="576" t="e">
        <f t="shared" si="6"/>
        <v>#REF!</v>
      </c>
    </row>
    <row r="140" spans="2:17" x14ac:dyDescent="0.3">
      <c r="B140" s="571" t="str">
        <f>IF(Überblick!$H$53&gt;=6,6,"")</f>
        <v/>
      </c>
      <c r="C140" s="507" t="e">
        <f>IF($B140=#REF!,#REF!*#REF!+#REF!+#REF!,0)</f>
        <v>#REF!</v>
      </c>
      <c r="D140" s="507" t="e">
        <f>IF($B140=#REF!,#REF!*#REF!+#REF!+#REF!,0)</f>
        <v>#REF!</v>
      </c>
      <c r="E140" s="507" t="e">
        <f>IF($B140=#REF!,#REF!*#REF!+#REF!+#REF!,0)</f>
        <v>#REF!</v>
      </c>
      <c r="F140" s="507" t="e">
        <f>IF($B140=#REF!,#REF!*#REF!+#REF!+#REF!,0)</f>
        <v>#REF!</v>
      </c>
      <c r="G140" s="507" t="e">
        <f>IF($B140=#REF!,#REF!*#REF!+#REF!+#REF!+#REF!,0)</f>
        <v>#REF!</v>
      </c>
      <c r="H140" s="507" t="e">
        <f>IF($B140=#REF!,#REF!*#REF!+#REF!+#REF!+#REF!+#REF!+#REF!,0)</f>
        <v>#REF!</v>
      </c>
      <c r="I140" s="507" t="e">
        <f>IF($B140=#REF!,#REF!*#REF!+#REF!+#REF!,0)</f>
        <v>#REF!</v>
      </c>
      <c r="J140" s="507" t="e">
        <f>IF($B140=#REF!,#REF!*#REF!+#REF!+#REF!,0)</f>
        <v>#REF!</v>
      </c>
      <c r="K140" s="507" t="e">
        <f>IF($B140=#REF!,#REF!*#REF!+#REF!+#REF!+#REF!,0)</f>
        <v>#REF!</v>
      </c>
      <c r="L140" s="507" t="e">
        <f>IF($B140=#REF!,#REF!*#REF!+#REF!+#REF!,0)</f>
        <v>#REF!</v>
      </c>
      <c r="M140" s="507" t="e">
        <f>IF($B140=#REF!,#REF!*#REF!+#REF!+#REF!,0)</f>
        <v>#REF!</v>
      </c>
      <c r="N140" s="507" t="e">
        <f>IF($B140=#REF!,#REF!*#REF!+#REF!+#REF!,0)</f>
        <v>#REF!</v>
      </c>
      <c r="O140" s="507" t="e">
        <f>IF($B140=#REF!,#REF!*#REF!+#REF!+#REF!,0)</f>
        <v>#REF!</v>
      </c>
      <c r="P140" s="507" t="e">
        <f>IF($B140=#REF!,#REF!*#REF!+#REF!+#REF!,0)</f>
        <v>#REF!</v>
      </c>
      <c r="Q140" s="576" t="e">
        <f t="shared" si="6"/>
        <v>#REF!</v>
      </c>
    </row>
    <row r="141" spans="2:17" x14ac:dyDescent="0.3">
      <c r="B141" s="571" t="str">
        <f>IF(Überblick!$H$53&gt;=7,7,"")</f>
        <v/>
      </c>
      <c r="C141" s="507" t="e">
        <f>IF($B141=#REF!,#REF!*#REF!+#REF!+#REF!,0)</f>
        <v>#REF!</v>
      </c>
      <c r="D141" s="507" t="e">
        <f>IF($B141=#REF!,#REF!*#REF!+#REF!+#REF!,0)</f>
        <v>#REF!</v>
      </c>
      <c r="E141" s="507" t="e">
        <f>IF($B141=#REF!,#REF!*#REF!+#REF!+#REF!,0)</f>
        <v>#REF!</v>
      </c>
      <c r="F141" s="507" t="e">
        <f>IF($B141=#REF!,#REF!*#REF!+#REF!+#REF!,0)</f>
        <v>#REF!</v>
      </c>
      <c r="G141" s="507" t="e">
        <f>IF($B141=#REF!,#REF!*#REF!+#REF!+#REF!+#REF!,0)</f>
        <v>#REF!</v>
      </c>
      <c r="H141" s="507" t="e">
        <f>IF($B141=#REF!,#REF!*#REF!+#REF!+#REF!+#REF!+#REF!+#REF!,0)</f>
        <v>#REF!</v>
      </c>
      <c r="I141" s="507" t="e">
        <f>IF($B141=#REF!,#REF!*#REF!+#REF!+#REF!,0)</f>
        <v>#REF!</v>
      </c>
      <c r="J141" s="507" t="e">
        <f>IF($B141=#REF!,#REF!*#REF!+#REF!+#REF!,0)</f>
        <v>#REF!</v>
      </c>
      <c r="K141" s="507" t="e">
        <f>IF($B141=#REF!,#REF!*#REF!+#REF!+#REF!+#REF!,0)</f>
        <v>#REF!</v>
      </c>
      <c r="L141" s="507" t="e">
        <f>IF($B141=#REF!,#REF!*#REF!+#REF!+#REF!,0)</f>
        <v>#REF!</v>
      </c>
      <c r="M141" s="507" t="e">
        <f>IF($B141=#REF!,#REF!*#REF!+#REF!+#REF!,0)</f>
        <v>#REF!</v>
      </c>
      <c r="N141" s="507" t="e">
        <f>IF($B141=#REF!,#REF!*#REF!+#REF!+#REF!,0)</f>
        <v>#REF!</v>
      </c>
      <c r="O141" s="507" t="e">
        <f>IF($B141=#REF!,#REF!*#REF!+#REF!+#REF!,0)</f>
        <v>#REF!</v>
      </c>
      <c r="P141" s="507" t="e">
        <f>IF($B141=#REF!,#REF!*#REF!+#REF!+#REF!,0)</f>
        <v>#REF!</v>
      </c>
      <c r="Q141" s="576" t="e">
        <f t="shared" si="6"/>
        <v>#REF!</v>
      </c>
    </row>
    <row r="142" spans="2:17" x14ac:dyDescent="0.3">
      <c r="B142" s="577" t="str">
        <f>IF(Überblick!$H$53&gt;=8,8,"")</f>
        <v/>
      </c>
      <c r="C142" s="507" t="e">
        <f>IF($B142=#REF!,#REF!*#REF!+#REF!+#REF!,0)</f>
        <v>#REF!</v>
      </c>
      <c r="D142" s="507" t="e">
        <f>IF($B142=#REF!,#REF!*#REF!+#REF!+#REF!,0)</f>
        <v>#REF!</v>
      </c>
      <c r="E142" s="507" t="e">
        <f>IF($B142=#REF!,#REF!*#REF!+#REF!+#REF!,0)</f>
        <v>#REF!</v>
      </c>
      <c r="F142" s="507" t="e">
        <f>IF($B142=#REF!,#REF!*#REF!+#REF!+#REF!,0)</f>
        <v>#REF!</v>
      </c>
      <c r="G142" s="507" t="e">
        <f>IF($B142=#REF!,#REF!*#REF!+#REF!+#REF!+#REF!,0)</f>
        <v>#REF!</v>
      </c>
      <c r="H142" s="507" t="e">
        <f>IF($B142=#REF!,#REF!*#REF!+#REF!+#REF!+#REF!+#REF!+#REF!,0)</f>
        <v>#REF!</v>
      </c>
      <c r="I142" s="507" t="e">
        <f>IF($B142=#REF!,#REF!*#REF!+#REF!+#REF!,0)</f>
        <v>#REF!</v>
      </c>
      <c r="J142" s="507" t="e">
        <f>IF($B142=#REF!,#REF!*#REF!+#REF!+#REF!,0)</f>
        <v>#REF!</v>
      </c>
      <c r="K142" s="507" t="e">
        <f>IF($B142=#REF!,#REF!*#REF!+#REF!+#REF!+#REF!,0)</f>
        <v>#REF!</v>
      </c>
      <c r="L142" s="507" t="e">
        <f>IF($B142=#REF!,#REF!*#REF!+#REF!+#REF!,0)</f>
        <v>#REF!</v>
      </c>
      <c r="M142" s="507" t="e">
        <f>IF($B142=#REF!,#REF!*#REF!+#REF!+#REF!,0)</f>
        <v>#REF!</v>
      </c>
      <c r="N142" s="507" t="e">
        <f>IF($B142=#REF!,#REF!*#REF!+#REF!+#REF!,0)</f>
        <v>#REF!</v>
      </c>
      <c r="O142" s="507" t="e">
        <f>IF($B142=#REF!,#REF!*#REF!+#REF!+#REF!,0)</f>
        <v>#REF!</v>
      </c>
      <c r="P142" s="507" t="e">
        <f>IF($B142=#REF!,#REF!*#REF!+#REF!+#REF!,0)</f>
        <v>#REF!</v>
      </c>
      <c r="Q142" s="576" t="e">
        <f t="shared" si="6"/>
        <v>#REF!</v>
      </c>
    </row>
    <row r="143" spans="2:17" ht="15.2" thickBot="1" x14ac:dyDescent="0.35">
      <c r="B143" s="573" t="str">
        <f>IF(Überblick!$H$53&gt;=9,9,"")</f>
        <v/>
      </c>
      <c r="C143" s="507" t="e">
        <f>IF($B143=#REF!,#REF!*#REF!+#REF!+#REF!,0)</f>
        <v>#REF!</v>
      </c>
      <c r="D143" s="507" t="e">
        <f>IF($B143=#REF!,#REF!*#REF!+#REF!+#REF!,0)</f>
        <v>#REF!</v>
      </c>
      <c r="E143" s="507" t="e">
        <f>IF($B143=#REF!,#REF!*#REF!+#REF!+#REF!,0)</f>
        <v>#REF!</v>
      </c>
      <c r="F143" s="507" t="e">
        <f>IF($B143=#REF!,#REF!*#REF!+#REF!+#REF!,0)</f>
        <v>#REF!</v>
      </c>
      <c r="G143" s="507" t="e">
        <f>IF($B143=#REF!,#REF!*#REF!+#REF!+#REF!+#REF!,0)</f>
        <v>#REF!</v>
      </c>
      <c r="H143" s="507" t="e">
        <f>IF($B143=#REF!,#REF!*#REF!+#REF!+#REF!+#REF!+#REF!+#REF!,0)</f>
        <v>#REF!</v>
      </c>
      <c r="I143" s="507" t="e">
        <f>IF($B143=#REF!,#REF!*#REF!+#REF!+#REF!,0)</f>
        <v>#REF!</v>
      </c>
      <c r="J143" s="507" t="e">
        <f>IF($B143=#REF!,#REF!*#REF!+#REF!+#REF!,0)</f>
        <v>#REF!</v>
      </c>
      <c r="K143" s="507" t="e">
        <f>IF($B143=#REF!,#REF!*#REF!+#REF!+#REF!+#REF!,0)</f>
        <v>#REF!</v>
      </c>
      <c r="L143" s="507" t="e">
        <f>IF($B143=#REF!,#REF!*#REF!+#REF!+#REF!,0)</f>
        <v>#REF!</v>
      </c>
      <c r="M143" s="507" t="e">
        <f>IF($B143=#REF!,#REF!*#REF!+#REF!+#REF!,0)</f>
        <v>#REF!</v>
      </c>
      <c r="N143" s="507" t="e">
        <f>IF($B143=#REF!,#REF!*#REF!+#REF!+#REF!,0)</f>
        <v>#REF!</v>
      </c>
      <c r="O143" s="507" t="e">
        <f>IF($B143=#REF!,#REF!*#REF!+#REF!+#REF!,0)</f>
        <v>#REF!</v>
      </c>
      <c r="P143" s="507" t="e">
        <f>IF($B143=#REF!,#REF!*#REF!+#REF!+#REF!,0)</f>
        <v>#REF!</v>
      </c>
      <c r="Q143" s="576" t="e">
        <f t="shared" ref="Q143" si="7">SUM(C143:P143)</f>
        <v>#REF!</v>
      </c>
    </row>
    <row r="144" spans="2:17" x14ac:dyDescent="0.3">
      <c r="Q144" s="513" t="e">
        <f>SUM(Q135:Q143)</f>
        <v>#REF!</v>
      </c>
    </row>
    <row r="156" spans="2:4" x14ac:dyDescent="0.3">
      <c r="B156" s="514"/>
      <c r="C156" s="515"/>
      <c r="D156" s="516"/>
    </row>
  </sheetData>
  <mergeCells count="84">
    <mergeCell ref="G50:H50"/>
    <mergeCell ref="J50:K50"/>
    <mergeCell ref="G52:G54"/>
    <mergeCell ref="G56:G60"/>
    <mergeCell ref="B62:E62"/>
    <mergeCell ref="G62:H62"/>
    <mergeCell ref="I62:J62"/>
    <mergeCell ref="K62:L62"/>
    <mergeCell ref="A2:A5"/>
    <mergeCell ref="C2:D2"/>
    <mergeCell ref="F2:G2"/>
    <mergeCell ref="I2:J2"/>
    <mergeCell ref="C3:D3"/>
    <mergeCell ref="F3:G3"/>
    <mergeCell ref="I3:J3"/>
    <mergeCell ref="C5:D5"/>
    <mergeCell ref="F5:G5"/>
    <mergeCell ref="I5:J5"/>
    <mergeCell ref="J64:K64"/>
    <mergeCell ref="B65:E65"/>
    <mergeCell ref="G65:H65"/>
    <mergeCell ref="J65:K65"/>
    <mergeCell ref="G104:H104"/>
    <mergeCell ref="I104:J104"/>
    <mergeCell ref="K104:L104"/>
    <mergeCell ref="E76:E77"/>
    <mergeCell ref="D76:D80"/>
    <mergeCell ref="D70:D74"/>
    <mergeCell ref="G69:H69"/>
    <mergeCell ref="I69:J69"/>
    <mergeCell ref="K69:L69"/>
    <mergeCell ref="E70:E71"/>
    <mergeCell ref="B64:E64"/>
    <mergeCell ref="G64:H64"/>
    <mergeCell ref="B105:E105"/>
    <mergeCell ref="B85:E85"/>
    <mergeCell ref="B86:E86"/>
    <mergeCell ref="B87:E87"/>
    <mergeCell ref="B88:E88"/>
    <mergeCell ref="B93:E93"/>
    <mergeCell ref="B94:E94"/>
    <mergeCell ref="B95:E95"/>
    <mergeCell ref="B96:E96"/>
    <mergeCell ref="C107:F107"/>
    <mergeCell ref="C108:D108"/>
    <mergeCell ref="E108:F108"/>
    <mergeCell ref="C109:D109"/>
    <mergeCell ref="E109:F109"/>
    <mergeCell ref="E117:F117"/>
    <mergeCell ref="C118:D118"/>
    <mergeCell ref="E118:F118"/>
    <mergeCell ref="C111:D111"/>
    <mergeCell ref="E111:F111"/>
    <mergeCell ref="C112:D112"/>
    <mergeCell ref="E112:F112"/>
    <mergeCell ref="C113:D113"/>
    <mergeCell ref="E113:F113"/>
    <mergeCell ref="E132:F132"/>
    <mergeCell ref="C120:D120"/>
    <mergeCell ref="E120:F120"/>
    <mergeCell ref="C121:D121"/>
    <mergeCell ref="E121:F121"/>
    <mergeCell ref="C122:D122"/>
    <mergeCell ref="E122:F122"/>
    <mergeCell ref="C123:D123"/>
    <mergeCell ref="E123:F123"/>
    <mergeCell ref="C125:D125"/>
    <mergeCell ref="E125:F125"/>
    <mergeCell ref="B26:B44"/>
    <mergeCell ref="E26:E44"/>
    <mergeCell ref="H26:H44"/>
    <mergeCell ref="C130:D130"/>
    <mergeCell ref="E130:F130"/>
    <mergeCell ref="C119:D119"/>
    <mergeCell ref="E119:F119"/>
    <mergeCell ref="C114:D114"/>
    <mergeCell ref="E114:F114"/>
    <mergeCell ref="C115:D115"/>
    <mergeCell ref="E115:F115"/>
    <mergeCell ref="C116:D116"/>
    <mergeCell ref="E116:F116"/>
    <mergeCell ref="C110:D110"/>
    <mergeCell ref="E110:F110"/>
    <mergeCell ref="C117:D117"/>
  </mergeCells>
  <conditionalFormatting sqref="A6:A44">
    <cfRule type="colorScale" priority="6">
      <colorScale>
        <cfvo type="min"/>
        <cfvo type="percentile" val="50"/>
        <cfvo type="max"/>
        <color rgb="FF63BE7B"/>
        <color rgb="FFFFEB84"/>
        <color rgb="FFF8696B"/>
      </colorScale>
    </cfRule>
  </conditionalFormatting>
  <conditionalFormatting sqref="C6:C44">
    <cfRule type="colorScale" priority="7">
      <colorScale>
        <cfvo type="min"/>
        <cfvo type="percentile" val="50"/>
        <cfvo type="max"/>
        <color rgb="FF63BE7B"/>
        <color rgb="FFFFEB84"/>
        <color rgb="FFF8696B"/>
      </colorScale>
    </cfRule>
  </conditionalFormatting>
  <conditionalFormatting sqref="D6:D44">
    <cfRule type="colorScale" priority="5">
      <colorScale>
        <cfvo type="min"/>
        <cfvo type="percentile" val="50"/>
        <cfvo type="max"/>
        <color rgb="FF63BE7B"/>
        <color rgb="FFFFEB84"/>
        <color rgb="FFF8696B"/>
      </colorScale>
    </cfRule>
  </conditionalFormatting>
  <conditionalFormatting sqref="F6:F44">
    <cfRule type="colorScale" priority="4">
      <colorScale>
        <cfvo type="min"/>
        <cfvo type="percentile" val="50"/>
        <cfvo type="max"/>
        <color rgb="FF63BE7B"/>
        <color rgb="FFFFEB84"/>
        <color rgb="FFF8696B"/>
      </colorScale>
    </cfRule>
  </conditionalFormatting>
  <conditionalFormatting sqref="G6:G44">
    <cfRule type="colorScale" priority="3">
      <colorScale>
        <cfvo type="min"/>
        <cfvo type="percentile" val="50"/>
        <cfvo type="max"/>
        <color rgb="FF63BE7B"/>
        <color rgb="FFFFEB84"/>
        <color rgb="FFF8696B"/>
      </colorScale>
    </cfRule>
  </conditionalFormatting>
  <conditionalFormatting sqref="I6:I44">
    <cfRule type="colorScale" priority="2">
      <colorScale>
        <cfvo type="min"/>
        <cfvo type="percentile" val="50"/>
        <cfvo type="max"/>
        <color rgb="FF63BE7B"/>
        <color rgb="FFFFEB84"/>
        <color rgb="FFF8696B"/>
      </colorScale>
    </cfRule>
  </conditionalFormatting>
  <conditionalFormatting sqref="J6:J44">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ignoredErrors>
    <ignoredError sqref="H78 H72:H74 J72:J74 H79:H80 J78:J8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E52A-A7AC-4BEB-9EFA-2E11998644DE}">
  <sheetPr codeName="Tabelle13">
    <tabColor rgb="FFFFC000"/>
  </sheetPr>
  <dimension ref="A1:Q155"/>
  <sheetViews>
    <sheetView workbookViewId="0"/>
  </sheetViews>
  <sheetFormatPr baseColWidth="10" defaultColWidth="11.44140625" defaultRowHeight="14.55" x14ac:dyDescent="0.3"/>
  <cols>
    <col min="1" max="1" width="25.109375" style="384" bestFit="1" customWidth="1"/>
    <col min="2" max="2" width="11.5546875" style="384" bestFit="1" customWidth="1"/>
    <col min="3" max="4" width="11.6640625" style="384" bestFit="1" customWidth="1"/>
    <col min="5" max="5" width="11.5546875" style="384" bestFit="1" customWidth="1"/>
    <col min="6" max="6" width="11.6640625" style="384" bestFit="1" customWidth="1"/>
    <col min="7" max="7" width="16" style="384" bestFit="1" customWidth="1"/>
    <col min="8" max="8" width="15" style="384" bestFit="1" customWidth="1"/>
    <col min="9" max="9" width="16" style="384" bestFit="1" customWidth="1"/>
    <col min="10" max="10" width="18.5546875" style="384" bestFit="1" customWidth="1"/>
    <col min="11" max="11" width="16" style="384" bestFit="1" customWidth="1"/>
    <col min="12" max="12" width="18.5546875" style="384" bestFit="1" customWidth="1"/>
    <col min="13" max="17" width="11.5546875"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ht="15" customHeight="1" x14ac:dyDescent="0.3">
      <c r="A2" s="1195" t="s">
        <v>321</v>
      </c>
      <c r="B2" s="390"/>
      <c r="C2" s="1200" t="s">
        <v>322</v>
      </c>
      <c r="D2" s="1201"/>
      <c r="E2" s="390"/>
      <c r="F2" s="1200" t="s">
        <v>323</v>
      </c>
      <c r="G2" s="1201"/>
      <c r="H2" s="390"/>
      <c r="I2" s="1200" t="s">
        <v>324</v>
      </c>
      <c r="J2" s="1201"/>
    </row>
    <row r="3" spans="1:13" ht="1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3">
        <v>2547</v>
      </c>
      <c r="G6" s="424">
        <v>2990</v>
      </c>
      <c r="H6" s="422"/>
      <c r="I6" s="423">
        <v>2990</v>
      </c>
      <c r="J6" s="424">
        <v>3405</v>
      </c>
    </row>
    <row r="7" spans="1:13" x14ac:dyDescent="0.3">
      <c r="A7" s="427">
        <v>10000</v>
      </c>
      <c r="B7" s="422"/>
      <c r="C7" s="428">
        <v>3689</v>
      </c>
      <c r="D7" s="429">
        <v>4408</v>
      </c>
      <c r="E7" s="422"/>
      <c r="F7" s="428">
        <v>4408</v>
      </c>
      <c r="G7" s="429">
        <v>5174</v>
      </c>
      <c r="H7" s="422"/>
      <c r="I7" s="428">
        <v>5174</v>
      </c>
      <c r="J7" s="429">
        <v>5893</v>
      </c>
    </row>
    <row r="8" spans="1:13" x14ac:dyDescent="0.3">
      <c r="A8" s="427">
        <v>15000</v>
      </c>
      <c r="B8" s="422"/>
      <c r="C8" s="428">
        <v>5084</v>
      </c>
      <c r="D8" s="429">
        <v>6075</v>
      </c>
      <c r="E8" s="422"/>
      <c r="F8" s="428">
        <v>6075</v>
      </c>
      <c r="G8" s="429">
        <v>7131</v>
      </c>
      <c r="H8" s="422"/>
      <c r="I8" s="428">
        <v>7131</v>
      </c>
      <c r="J8" s="429">
        <v>8122</v>
      </c>
    </row>
    <row r="9" spans="1:13" x14ac:dyDescent="0.3">
      <c r="A9" s="427">
        <v>25000</v>
      </c>
      <c r="B9" s="422"/>
      <c r="C9" s="428">
        <v>7615</v>
      </c>
      <c r="D9" s="429">
        <v>9098</v>
      </c>
      <c r="E9" s="422"/>
      <c r="F9" s="428">
        <v>9098</v>
      </c>
      <c r="G9" s="429">
        <v>10681</v>
      </c>
      <c r="H9" s="422"/>
      <c r="I9" s="428">
        <v>10681</v>
      </c>
      <c r="J9" s="429">
        <v>12164</v>
      </c>
    </row>
    <row r="10" spans="1:13" x14ac:dyDescent="0.3">
      <c r="A10" s="427">
        <v>35000</v>
      </c>
      <c r="B10" s="422"/>
      <c r="C10" s="428">
        <v>9934</v>
      </c>
      <c r="D10" s="429">
        <v>11869</v>
      </c>
      <c r="E10" s="422"/>
      <c r="F10" s="428">
        <v>11869</v>
      </c>
      <c r="G10" s="429">
        <v>13934</v>
      </c>
      <c r="H10" s="422"/>
      <c r="I10" s="428">
        <v>13934</v>
      </c>
      <c r="J10" s="429">
        <v>15869</v>
      </c>
    </row>
    <row r="11" spans="1:13" x14ac:dyDescent="0.3">
      <c r="A11" s="427">
        <v>50000</v>
      </c>
      <c r="B11" s="422"/>
      <c r="C11" s="428">
        <v>13165</v>
      </c>
      <c r="D11" s="429">
        <v>15729</v>
      </c>
      <c r="E11" s="422"/>
      <c r="F11" s="428">
        <v>15729</v>
      </c>
      <c r="G11" s="429">
        <v>18465</v>
      </c>
      <c r="H11" s="422"/>
      <c r="I11" s="428">
        <v>18465</v>
      </c>
      <c r="J11" s="429">
        <v>21029</v>
      </c>
    </row>
    <row r="12" spans="1:13" x14ac:dyDescent="0.3">
      <c r="A12" s="427">
        <v>75000</v>
      </c>
      <c r="B12" s="422"/>
      <c r="C12" s="428">
        <v>18122</v>
      </c>
      <c r="D12" s="429">
        <v>21652</v>
      </c>
      <c r="E12" s="422"/>
      <c r="F12" s="428">
        <v>21652</v>
      </c>
      <c r="G12" s="429">
        <v>25418</v>
      </c>
      <c r="H12" s="422"/>
      <c r="I12" s="428">
        <v>25418</v>
      </c>
      <c r="J12" s="429">
        <v>28948</v>
      </c>
    </row>
    <row r="13" spans="1:13" x14ac:dyDescent="0.3">
      <c r="A13" s="427">
        <v>100000</v>
      </c>
      <c r="B13" s="422"/>
      <c r="C13" s="428">
        <v>22723</v>
      </c>
      <c r="D13" s="429">
        <v>27150</v>
      </c>
      <c r="E13" s="422"/>
      <c r="F13" s="428">
        <v>27150</v>
      </c>
      <c r="G13" s="429">
        <v>31872</v>
      </c>
      <c r="H13" s="422"/>
      <c r="I13" s="428">
        <v>31872</v>
      </c>
      <c r="J13" s="429">
        <v>36299</v>
      </c>
    </row>
    <row r="14" spans="1:13" x14ac:dyDescent="0.3">
      <c r="A14" s="427">
        <v>150000</v>
      </c>
      <c r="B14" s="422"/>
      <c r="C14" s="428">
        <v>31228</v>
      </c>
      <c r="D14" s="429">
        <v>37311</v>
      </c>
      <c r="E14" s="422"/>
      <c r="F14" s="428">
        <v>37311</v>
      </c>
      <c r="G14" s="429">
        <v>43800</v>
      </c>
      <c r="H14" s="422"/>
      <c r="I14" s="428">
        <v>43800</v>
      </c>
      <c r="J14" s="429">
        <v>49883</v>
      </c>
    </row>
    <row r="15" spans="1:13" x14ac:dyDescent="0.3">
      <c r="A15" s="427">
        <v>250000</v>
      </c>
      <c r="B15" s="422"/>
      <c r="C15" s="428">
        <v>46640</v>
      </c>
      <c r="D15" s="429">
        <v>55726</v>
      </c>
      <c r="E15" s="422"/>
      <c r="F15" s="428">
        <v>55726</v>
      </c>
      <c r="G15" s="429">
        <v>65418</v>
      </c>
      <c r="H15" s="422"/>
      <c r="I15" s="428">
        <v>65418</v>
      </c>
      <c r="J15" s="429">
        <v>74504</v>
      </c>
    </row>
    <row r="16" spans="1:13" x14ac:dyDescent="0.3">
      <c r="A16" s="427">
        <v>500000</v>
      </c>
      <c r="B16" s="422"/>
      <c r="C16" s="428">
        <v>80684</v>
      </c>
      <c r="D16" s="429">
        <v>96402</v>
      </c>
      <c r="E16" s="422"/>
      <c r="F16" s="428">
        <v>96402</v>
      </c>
      <c r="G16" s="429">
        <v>113168</v>
      </c>
      <c r="H16" s="422"/>
      <c r="I16" s="428">
        <v>113168</v>
      </c>
      <c r="J16" s="429">
        <v>128886</v>
      </c>
    </row>
    <row r="17" spans="1:10" x14ac:dyDescent="0.3">
      <c r="A17" s="427">
        <v>750000</v>
      </c>
      <c r="B17" s="422"/>
      <c r="C17" s="428">
        <v>111105</v>
      </c>
      <c r="D17" s="429">
        <v>132749</v>
      </c>
      <c r="E17" s="422"/>
      <c r="F17" s="428">
        <v>132749</v>
      </c>
      <c r="G17" s="429">
        <v>155836</v>
      </c>
      <c r="H17" s="422"/>
      <c r="I17" s="428">
        <v>155836</v>
      </c>
      <c r="J17" s="429">
        <v>177480</v>
      </c>
    </row>
    <row r="18" spans="1:10" x14ac:dyDescent="0.3">
      <c r="A18" s="427">
        <v>1000000</v>
      </c>
      <c r="B18" s="422"/>
      <c r="C18" s="428">
        <v>139347</v>
      </c>
      <c r="D18" s="429">
        <v>166493</v>
      </c>
      <c r="E18" s="422"/>
      <c r="F18" s="428">
        <v>166493</v>
      </c>
      <c r="G18" s="429">
        <v>195448</v>
      </c>
      <c r="H18" s="422"/>
      <c r="I18" s="428">
        <v>195448</v>
      </c>
      <c r="J18" s="429">
        <v>222594</v>
      </c>
    </row>
    <row r="19" spans="1:10" x14ac:dyDescent="0.3">
      <c r="A19" s="427">
        <v>1250000</v>
      </c>
      <c r="B19" s="422"/>
      <c r="C19" s="428">
        <v>166043</v>
      </c>
      <c r="D19" s="429">
        <v>198389</v>
      </c>
      <c r="E19" s="422"/>
      <c r="F19" s="428">
        <v>198389</v>
      </c>
      <c r="G19" s="429">
        <v>232891</v>
      </c>
      <c r="H19" s="422"/>
      <c r="I19" s="428">
        <v>232891</v>
      </c>
      <c r="J19" s="429">
        <v>265237</v>
      </c>
    </row>
    <row r="20" spans="1:10" x14ac:dyDescent="0.3">
      <c r="A20" s="427">
        <v>1500000</v>
      </c>
      <c r="B20" s="422"/>
      <c r="C20" s="428">
        <v>191545</v>
      </c>
      <c r="D20" s="429">
        <v>228859</v>
      </c>
      <c r="E20" s="422"/>
      <c r="F20" s="428">
        <v>228859</v>
      </c>
      <c r="G20" s="429">
        <v>268660</v>
      </c>
      <c r="H20" s="422"/>
      <c r="I20" s="428">
        <v>268660</v>
      </c>
      <c r="J20" s="429">
        <v>305974</v>
      </c>
    </row>
    <row r="21" spans="1:10" x14ac:dyDescent="0.3">
      <c r="A21" s="427">
        <v>2000000</v>
      </c>
      <c r="B21" s="422"/>
      <c r="C21" s="428">
        <v>239792</v>
      </c>
      <c r="D21" s="429">
        <v>286504</v>
      </c>
      <c r="E21" s="422"/>
      <c r="F21" s="428">
        <v>286504</v>
      </c>
      <c r="G21" s="429">
        <v>336331</v>
      </c>
      <c r="H21" s="422"/>
      <c r="I21" s="428">
        <v>336331</v>
      </c>
      <c r="J21" s="429">
        <v>383044</v>
      </c>
    </row>
    <row r="22" spans="1:10" x14ac:dyDescent="0.3">
      <c r="A22" s="427">
        <v>2500000</v>
      </c>
      <c r="B22" s="422"/>
      <c r="C22" s="428">
        <v>285649</v>
      </c>
      <c r="D22" s="429">
        <v>341295</v>
      </c>
      <c r="E22" s="422"/>
      <c r="F22" s="428">
        <v>341295</v>
      </c>
      <c r="G22" s="429">
        <v>400650</v>
      </c>
      <c r="H22" s="422"/>
      <c r="I22" s="428">
        <v>400650</v>
      </c>
      <c r="J22" s="429">
        <v>456296</v>
      </c>
    </row>
    <row r="23" spans="1:10" x14ac:dyDescent="0.3">
      <c r="A23" s="427">
        <v>3000000</v>
      </c>
      <c r="B23" s="422"/>
      <c r="C23" s="428">
        <v>329420</v>
      </c>
      <c r="D23" s="429">
        <v>393593</v>
      </c>
      <c r="E23" s="422"/>
      <c r="F23" s="428">
        <v>393593</v>
      </c>
      <c r="G23" s="429">
        <v>462044</v>
      </c>
      <c r="H23" s="422"/>
      <c r="I23" s="428">
        <v>462044</v>
      </c>
      <c r="J23" s="429">
        <v>526217</v>
      </c>
    </row>
    <row r="24" spans="1:10" x14ac:dyDescent="0.3">
      <c r="A24" s="427">
        <v>3500000</v>
      </c>
      <c r="B24" s="422"/>
      <c r="C24" s="428">
        <v>371491</v>
      </c>
      <c r="D24" s="429">
        <v>443859</v>
      </c>
      <c r="E24" s="422"/>
      <c r="F24" s="428">
        <v>443859</v>
      </c>
      <c r="G24" s="429">
        <v>521052</v>
      </c>
      <c r="H24" s="422"/>
      <c r="I24" s="428">
        <v>521052</v>
      </c>
      <c r="J24" s="429">
        <v>593420</v>
      </c>
    </row>
    <row r="25" spans="1:10" ht="15.2" thickBot="1" x14ac:dyDescent="0.35">
      <c r="A25" s="427">
        <v>4000000</v>
      </c>
      <c r="B25" s="431"/>
      <c r="C25" s="428">
        <v>412126</v>
      </c>
      <c r="D25" s="429">
        <v>492410</v>
      </c>
      <c r="E25" s="432"/>
      <c r="F25" s="428">
        <v>492410</v>
      </c>
      <c r="G25" s="429">
        <v>578046</v>
      </c>
      <c r="H25" s="422"/>
      <c r="I25" s="428">
        <v>578046</v>
      </c>
      <c r="J25" s="429">
        <v>658331</v>
      </c>
    </row>
    <row r="26" spans="1:10" x14ac:dyDescent="0.3">
      <c r="A26" s="427">
        <v>5000000</v>
      </c>
      <c r="B26" s="1255" t="s">
        <v>334</v>
      </c>
      <c r="C26" s="428">
        <v>491179</v>
      </c>
      <c r="D26" s="429">
        <v>586864</v>
      </c>
      <c r="E26" s="1255" t="s">
        <v>334</v>
      </c>
      <c r="F26" s="428">
        <f>D26</f>
        <v>586864</v>
      </c>
      <c r="G26" s="429">
        <v>688927</v>
      </c>
      <c r="H26" s="1255" t="s">
        <v>334</v>
      </c>
      <c r="I26" s="428">
        <f>G26</f>
        <v>688927</v>
      </c>
      <c r="J26" s="429">
        <v>784611</v>
      </c>
    </row>
    <row r="27" spans="1:10" x14ac:dyDescent="0.3">
      <c r="A27" s="427">
        <v>6000000</v>
      </c>
      <c r="B27" s="1256"/>
      <c r="C27" s="428">
        <v>566898</v>
      </c>
      <c r="D27" s="429">
        <v>677333</v>
      </c>
      <c r="E27" s="1256"/>
      <c r="F27" s="428">
        <f>D27</f>
        <v>677333</v>
      </c>
      <c r="G27" s="429">
        <v>795130</v>
      </c>
      <c r="H27" s="1256"/>
      <c r="I27" s="428">
        <f>G27</f>
        <v>795130</v>
      </c>
      <c r="J27" s="429">
        <v>905564</v>
      </c>
    </row>
    <row r="28" spans="1:10" x14ac:dyDescent="0.3">
      <c r="A28" s="427">
        <v>7000000</v>
      </c>
      <c r="B28" s="1256"/>
      <c r="C28" s="428">
        <v>639950</v>
      </c>
      <c r="D28" s="429">
        <v>764616</v>
      </c>
      <c r="E28" s="1256"/>
      <c r="F28" s="428">
        <f t="shared" ref="F28:F44" si="0">D28</f>
        <v>764616</v>
      </c>
      <c r="G28" s="429">
        <v>897593</v>
      </c>
      <c r="H28" s="1256"/>
      <c r="I28" s="428">
        <f t="shared" ref="I28:I44" si="1">G28</f>
        <v>897593</v>
      </c>
      <c r="J28" s="429">
        <v>1022258</v>
      </c>
    </row>
    <row r="29" spans="1:10" x14ac:dyDescent="0.3">
      <c r="A29" s="427">
        <v>8000000</v>
      </c>
      <c r="B29" s="1256"/>
      <c r="C29" s="428">
        <v>710795</v>
      </c>
      <c r="D29" s="429">
        <v>849261</v>
      </c>
      <c r="E29" s="1256"/>
      <c r="F29" s="428">
        <f t="shared" si="0"/>
        <v>849261</v>
      </c>
      <c r="G29" s="429">
        <v>996959</v>
      </c>
      <c r="H29" s="1256"/>
      <c r="I29" s="428">
        <f t="shared" si="1"/>
        <v>996959</v>
      </c>
      <c r="J29" s="429">
        <v>1135425</v>
      </c>
    </row>
    <row r="30" spans="1:10" x14ac:dyDescent="0.3">
      <c r="A30" s="427">
        <v>9000000</v>
      </c>
      <c r="B30" s="1256"/>
      <c r="C30" s="428">
        <v>779763</v>
      </c>
      <c r="D30" s="429">
        <v>931665</v>
      </c>
      <c r="E30" s="1256"/>
      <c r="F30" s="428">
        <f t="shared" si="0"/>
        <v>931665</v>
      </c>
      <c r="G30" s="429">
        <v>1093694</v>
      </c>
      <c r="H30" s="1256"/>
      <c r="I30" s="428">
        <f t="shared" si="1"/>
        <v>1093694</v>
      </c>
      <c r="J30" s="429">
        <v>1245595</v>
      </c>
    </row>
    <row r="31" spans="1:10" x14ac:dyDescent="0.3">
      <c r="A31" s="427">
        <v>10000000</v>
      </c>
      <c r="B31" s="1256"/>
      <c r="C31" s="428">
        <v>847106</v>
      </c>
      <c r="D31" s="429">
        <v>1012127</v>
      </c>
      <c r="E31" s="1256"/>
      <c r="F31" s="428">
        <f t="shared" si="0"/>
        <v>1012127</v>
      </c>
      <c r="G31" s="429">
        <v>1188149</v>
      </c>
      <c r="H31" s="1256"/>
      <c r="I31" s="428">
        <f t="shared" si="1"/>
        <v>1188149</v>
      </c>
      <c r="J31" s="429">
        <v>1353170</v>
      </c>
    </row>
    <row r="32" spans="1:10" x14ac:dyDescent="0.3">
      <c r="A32" s="427">
        <v>12500000</v>
      </c>
      <c r="B32" s="1256"/>
      <c r="C32" s="428">
        <v>1009545</v>
      </c>
      <c r="D32" s="429">
        <v>1206209</v>
      </c>
      <c r="E32" s="1256"/>
      <c r="F32" s="428">
        <f t="shared" si="0"/>
        <v>1206209</v>
      </c>
      <c r="G32" s="429">
        <v>1415985</v>
      </c>
      <c r="H32" s="1256"/>
      <c r="I32" s="428">
        <f t="shared" si="1"/>
        <v>1415985</v>
      </c>
      <c r="J32" s="429">
        <v>1612649</v>
      </c>
    </row>
    <row r="33" spans="1:17" x14ac:dyDescent="0.3">
      <c r="A33" s="427">
        <v>15000000</v>
      </c>
      <c r="B33" s="1256"/>
      <c r="C33" s="428">
        <v>1165120</v>
      </c>
      <c r="D33" s="429">
        <v>1392092</v>
      </c>
      <c r="E33" s="1256"/>
      <c r="F33" s="428">
        <f t="shared" si="0"/>
        <v>1392092</v>
      </c>
      <c r="G33" s="429">
        <v>1634195</v>
      </c>
      <c r="H33" s="1256"/>
      <c r="I33" s="428">
        <f t="shared" si="1"/>
        <v>1634195</v>
      </c>
      <c r="J33" s="429">
        <v>1861166</v>
      </c>
    </row>
    <row r="34" spans="1:17" x14ac:dyDescent="0.3">
      <c r="A34" s="427">
        <v>17500000</v>
      </c>
      <c r="B34" s="1256"/>
      <c r="C34" s="428">
        <v>1315210</v>
      </c>
      <c r="D34" s="429">
        <v>1571419</v>
      </c>
      <c r="E34" s="1256"/>
      <c r="F34" s="428">
        <f t="shared" si="0"/>
        <v>1571419</v>
      </c>
      <c r="G34" s="429">
        <v>1844710</v>
      </c>
      <c r="H34" s="1256"/>
      <c r="I34" s="428">
        <f t="shared" si="1"/>
        <v>1844710</v>
      </c>
      <c r="J34" s="429">
        <v>2100919</v>
      </c>
    </row>
    <row r="35" spans="1:17" x14ac:dyDescent="0.3">
      <c r="A35" s="427">
        <v>20000000</v>
      </c>
      <c r="B35" s="1256"/>
      <c r="C35" s="428">
        <v>1460755</v>
      </c>
      <c r="D35" s="429">
        <v>1745318</v>
      </c>
      <c r="E35" s="1256"/>
      <c r="F35" s="428">
        <f t="shared" si="0"/>
        <v>1745318</v>
      </c>
      <c r="G35" s="429">
        <v>2048852</v>
      </c>
      <c r="H35" s="1256"/>
      <c r="I35" s="428">
        <f t="shared" si="1"/>
        <v>2048852</v>
      </c>
      <c r="J35" s="429">
        <v>2333414</v>
      </c>
    </row>
    <row r="36" spans="1:17" x14ac:dyDescent="0.3">
      <c r="A36" s="427">
        <v>25000000</v>
      </c>
      <c r="B36" s="1256"/>
      <c r="C36" s="428">
        <v>1740783</v>
      </c>
      <c r="D36" s="429">
        <v>2079896</v>
      </c>
      <c r="E36" s="1256"/>
      <c r="F36" s="428">
        <f t="shared" si="0"/>
        <v>2079896</v>
      </c>
      <c r="G36" s="429">
        <v>2441617</v>
      </c>
      <c r="H36" s="1256"/>
      <c r="I36" s="428">
        <f t="shared" si="1"/>
        <v>2441617</v>
      </c>
      <c r="J36" s="429">
        <v>2780731</v>
      </c>
    </row>
    <row r="37" spans="1:17" x14ac:dyDescent="0.3">
      <c r="A37" s="427">
        <v>30000000</v>
      </c>
      <c r="B37" s="1256"/>
      <c r="C37" s="428">
        <v>2008964</v>
      </c>
      <c r="D37" s="429">
        <v>2400321</v>
      </c>
      <c r="E37" s="1256"/>
      <c r="F37" s="428">
        <f t="shared" si="0"/>
        <v>2400321</v>
      </c>
      <c r="G37" s="429">
        <v>2817768</v>
      </c>
      <c r="H37" s="1256"/>
      <c r="I37" s="428">
        <f t="shared" si="1"/>
        <v>2817768</v>
      </c>
      <c r="J37" s="429">
        <v>3209125</v>
      </c>
    </row>
    <row r="38" spans="1:17" x14ac:dyDescent="0.3">
      <c r="A38" s="427">
        <v>40000000</v>
      </c>
      <c r="B38" s="1256"/>
      <c r="C38" s="428">
        <v>2518545</v>
      </c>
      <c r="D38" s="429">
        <v>3009171</v>
      </c>
      <c r="E38" s="1256"/>
      <c r="F38" s="428">
        <f t="shared" si="0"/>
        <v>3009171</v>
      </c>
      <c r="G38" s="429">
        <v>3532505</v>
      </c>
      <c r="H38" s="1256"/>
      <c r="I38" s="428">
        <f t="shared" si="1"/>
        <v>3532505</v>
      </c>
      <c r="J38" s="429">
        <v>4023130</v>
      </c>
    </row>
    <row r="39" spans="1:17" x14ac:dyDescent="0.3">
      <c r="A39" s="427">
        <v>50000000</v>
      </c>
      <c r="B39" s="1256"/>
      <c r="C39" s="428">
        <v>3001186</v>
      </c>
      <c r="D39" s="429">
        <v>3585832</v>
      </c>
      <c r="E39" s="1256"/>
      <c r="F39" s="428">
        <f t="shared" si="0"/>
        <v>3585832</v>
      </c>
      <c r="G39" s="429">
        <v>4209455</v>
      </c>
      <c r="H39" s="1256"/>
      <c r="I39" s="428">
        <f t="shared" si="1"/>
        <v>4209455</v>
      </c>
      <c r="J39" s="429">
        <v>4794102</v>
      </c>
    </row>
    <row r="40" spans="1:17" x14ac:dyDescent="0.3">
      <c r="A40" s="427">
        <v>75000000</v>
      </c>
      <c r="B40" s="1256"/>
      <c r="C40" s="428">
        <v>4126934</v>
      </c>
      <c r="D40" s="429">
        <v>4930882</v>
      </c>
      <c r="E40" s="1256"/>
      <c r="F40" s="428">
        <f t="shared" si="0"/>
        <v>4930882</v>
      </c>
      <c r="G40" s="429">
        <v>5788426</v>
      </c>
      <c r="H40" s="1256"/>
      <c r="I40" s="428">
        <f t="shared" si="1"/>
        <v>5788426</v>
      </c>
      <c r="J40" s="429">
        <v>6592374</v>
      </c>
    </row>
    <row r="41" spans="1:17" x14ac:dyDescent="0.3">
      <c r="A41" s="427">
        <v>100000000</v>
      </c>
      <c r="B41" s="1256"/>
      <c r="C41" s="428">
        <v>5173197</v>
      </c>
      <c r="D41" s="429">
        <v>6180963</v>
      </c>
      <c r="E41" s="1256"/>
      <c r="F41" s="428">
        <f t="shared" si="0"/>
        <v>6180963</v>
      </c>
      <c r="G41" s="429">
        <v>7255913</v>
      </c>
      <c r="H41" s="1256"/>
      <c r="I41" s="428">
        <f t="shared" si="1"/>
        <v>7255913</v>
      </c>
      <c r="J41" s="429">
        <v>8263678</v>
      </c>
    </row>
    <row r="42" spans="1:17" x14ac:dyDescent="0.3">
      <c r="A42" s="427">
        <v>150000000</v>
      </c>
      <c r="B42" s="1256"/>
      <c r="C42" s="428">
        <v>7112783</v>
      </c>
      <c r="D42" s="429">
        <v>8498390</v>
      </c>
      <c r="E42" s="1256"/>
      <c r="F42" s="428">
        <f t="shared" si="0"/>
        <v>8498390</v>
      </c>
      <c r="G42" s="429">
        <v>9976370</v>
      </c>
      <c r="H42" s="1256"/>
      <c r="I42" s="428">
        <f t="shared" si="1"/>
        <v>9976370</v>
      </c>
      <c r="J42" s="429">
        <v>11361977</v>
      </c>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row>
    <row r="45" spans="1:17" x14ac:dyDescent="0.3">
      <c r="A45" s="436"/>
      <c r="B45" s="431"/>
      <c r="C45" s="436"/>
      <c r="D45" s="436"/>
      <c r="E45" s="431"/>
      <c r="F45" s="436"/>
      <c r="G45" s="436"/>
      <c r="H45" s="431"/>
      <c r="I45" s="436"/>
      <c r="J45" s="436"/>
    </row>
    <row r="46" spans="1:17" s="445" customFormat="1" ht="26.25" customHeight="1" x14ac:dyDescent="0.3">
      <c r="A46" s="437"/>
      <c r="B46" s="438" t="s">
        <v>481</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t="e">
        <f>#REF!</f>
        <v>#REF!</v>
      </c>
      <c r="H62" s="1263"/>
      <c r="I62" s="1262" t="e">
        <f>#REF!</f>
        <v>#REF!</v>
      </c>
      <c r="J62" s="1263"/>
      <c r="K62" s="1262" t="e">
        <f>#REF!</f>
        <v>#REF!</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t="e">
        <f>#REF!</f>
        <v>#REF!</v>
      </c>
      <c r="H64" s="1182"/>
      <c r="J64" s="1258"/>
      <c r="K64" s="1258"/>
      <c r="L64" s="456"/>
      <c r="M64" s="459"/>
      <c r="N64" s="443"/>
      <c r="O64" s="443"/>
      <c r="P64" s="443"/>
      <c r="Q64" s="444"/>
    </row>
    <row r="65" spans="1:17" x14ac:dyDescent="0.3">
      <c r="A65" s="446"/>
      <c r="B65" s="1242" t="s">
        <v>338</v>
      </c>
      <c r="C65" s="1243"/>
      <c r="D65" s="1243"/>
      <c r="E65" s="1244"/>
      <c r="F65" s="458"/>
      <c r="G65" s="1181" t="e">
        <f>#REF!</f>
        <v>#REF!</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171" t="s">
        <v>337</v>
      </c>
      <c r="F70" s="460"/>
      <c r="G70" s="461" t="s">
        <v>349</v>
      </c>
      <c r="H70" s="462" t="e">
        <f>IF(G62&lt;$A$6,0,IF(G62&gt;$A$44,0,VLOOKUP(G62,$A$6:$A$44,1)))</f>
        <v>#REF!</v>
      </c>
      <c r="I70" s="461" t="s">
        <v>349</v>
      </c>
      <c r="J70" s="462" t="e">
        <f>IF(I62&lt;$A$6,0,IF(I62&gt;$A$44,0,VLOOKUP(I62,$A$6:$A$44,1)))</f>
        <v>#REF!</v>
      </c>
      <c r="K70" s="461" t="s">
        <v>349</v>
      </c>
      <c r="L70" s="462" t="e">
        <f>IF(K62&lt;$A$6,0,IF(K62&gt;$A$44,0,VLOOKUP(K62,$A$6:$A$44,1)))</f>
        <v>#REF!</v>
      </c>
      <c r="M70" s="74"/>
      <c r="N70" s="444"/>
      <c r="O70" s="444"/>
      <c r="P70" s="444"/>
      <c r="Q70" s="444"/>
    </row>
    <row r="71" spans="1:17" x14ac:dyDescent="0.3">
      <c r="A71" s="446"/>
      <c r="B71" s="449"/>
      <c r="C71" s="449"/>
      <c r="D71" s="1223"/>
      <c r="E71" s="1172"/>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561">
        <v>1</v>
      </c>
      <c r="F72" s="74"/>
      <c r="G72" s="462" t="e">
        <f>IF(G62&lt;$A$6,0,IF(G62&gt;$A$44,0,VLOOKUP(H70,$A$6:$J$44,3)))</f>
        <v>#REF!</v>
      </c>
      <c r="H72" s="462" t="e">
        <f>IF(G62&lt;$A$6,0,IF(G62&gt;$A$44,0,VLOOKUP(G72,$C$6:$D$44,2)))</f>
        <v>#REF!</v>
      </c>
      <c r="I72" s="462" t="e">
        <f>IF(I62&lt;$A$6,0,IF(I62&gt;$A$44,0,VLOOKUP(J70,$A$6:$J$44,3)))</f>
        <v>#REF!</v>
      </c>
      <c r="J72" s="462" t="e">
        <f>IF(I62&lt;$A$6,0,IF(I62&gt;$A$44,0,VLOOKUP(I72,$C$6:$D$44,2)))</f>
        <v>#REF!</v>
      </c>
      <c r="K72" s="462" t="e">
        <f>IF(K62&lt;$A$6,0,IF(K62&gt;$A$44,0,VLOOKUP(L70,$A$6:$J$44,3)))</f>
        <v>#REF!</v>
      </c>
      <c r="L72" s="462" t="e">
        <f>IF(K62&lt;$A$6,0,IF(K62&gt;$A$44,0,VLOOKUP(K72,$C$6:$D$44,2)))</f>
        <v>#REF!</v>
      </c>
      <c r="M72" s="460"/>
      <c r="N72" s="444"/>
      <c r="O72" s="444"/>
      <c r="P72" s="444"/>
      <c r="Q72" s="444"/>
    </row>
    <row r="73" spans="1:17" x14ac:dyDescent="0.3">
      <c r="A73" s="446"/>
      <c r="B73" s="449"/>
      <c r="C73" s="449"/>
      <c r="D73" s="1223"/>
      <c r="E73" s="561">
        <v>2</v>
      </c>
      <c r="F73" s="74"/>
      <c r="G73" s="462" t="e">
        <f>IF(G62&lt;$A$6,0,IF(G62&gt;$A$44,0,VLOOKUP(H70,$A$6:$J$44,6)))</f>
        <v>#REF!</v>
      </c>
      <c r="H73" s="462" t="e">
        <f>IF(G62&lt;$A$6,0,IF(G62&gt;$A$44,0,VLOOKUP(G73,$F$6:$G$44,2)))</f>
        <v>#REF!</v>
      </c>
      <c r="I73" s="462" t="e">
        <f>IF(I62&lt;$A$6,0,IF(I62&gt;$A$44,0,VLOOKUP(J70,$A$6:$J$44,6)))</f>
        <v>#REF!</v>
      </c>
      <c r="J73" s="462" t="e">
        <f>IF(I62&lt;$A$6,0,IF(I62&gt;$A$44,0,VLOOKUP(I73,$F$6:$G$44,2)))</f>
        <v>#REF!</v>
      </c>
      <c r="K73" s="462" t="e">
        <f>IF(K62&lt;$A$6,0,IF(K62&gt;$A$44,0,VLOOKUP(L70,$A$6:$J$44,6)))</f>
        <v>#REF!</v>
      </c>
      <c r="L73" s="462" t="e">
        <f>IF(K62&lt;$A$6,0,IF(K62&gt;$A$44,0,VLOOKUP(K73,$F$6:$G$44,2)))</f>
        <v>#REF!</v>
      </c>
      <c r="M73" s="460"/>
      <c r="N73" s="444"/>
      <c r="O73" s="444"/>
      <c r="P73" s="444"/>
      <c r="Q73" s="444"/>
    </row>
    <row r="74" spans="1:17" x14ac:dyDescent="0.3">
      <c r="A74" s="446"/>
      <c r="B74" s="449"/>
      <c r="C74" s="449"/>
      <c r="D74" s="1224"/>
      <c r="E74" s="561">
        <v>3</v>
      </c>
      <c r="F74" s="74"/>
      <c r="G74" s="462" t="e">
        <f>IF(G62&lt;$A$6,0,IF(G62&gt;$A$44,0,VLOOKUP(H70,$A$6:$J$44,9)))</f>
        <v>#REF!</v>
      </c>
      <c r="H74" s="462" t="e">
        <f>IF(G62&lt;$A$6,0,IF(G62&gt;$A$44,0,VLOOKUP(G74,$I$6:$J$44,2)))</f>
        <v>#REF!</v>
      </c>
      <c r="I74" s="462" t="e">
        <f>IF(I62&lt;$A$6,0,IF(I62&gt;$A$44,0,VLOOKUP(J70,$A$6:$J$44,9)))</f>
        <v>#REF!</v>
      </c>
      <c r="J74" s="462" t="e">
        <f>IF(I62&lt;$A$6,0,IF(I62&gt;$A$44,0,VLOOKUP(I74,$I$6:$J$44,2)))</f>
        <v>#REF!</v>
      </c>
      <c r="K74" s="462" t="e">
        <f>IF(K62&lt;$A$6,0,IF(K62&gt;$A$44,0,VLOOKUP(L70,$A$6:$J$44,9)))</f>
        <v>#REF!</v>
      </c>
      <c r="L74" s="462" t="e">
        <f>IF(K62&lt;$A$6,0,IF(K62&gt;$A$44,0,VLOOKUP(K74,$I$6:$J$44,2)))</f>
        <v>#REF!</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171" t="s">
        <v>337</v>
      </c>
      <c r="F76" s="74"/>
      <c r="G76" s="461" t="s">
        <v>349</v>
      </c>
      <c r="H76" s="462" t="e">
        <f>IF(G62&lt;$A$6,0,IF(G62&gt;$A$44,0,INDEX($A$6:$A$44,MATCH(G62,$A$6:$A$44,1)+1,1)))</f>
        <v>#REF!</v>
      </c>
      <c r="I76" s="461" t="s">
        <v>349</v>
      </c>
      <c r="J76" s="462" t="e">
        <f>IF(I62&lt;$A$6,0,IF(I62&gt;$A$44,0,INDEX($A$6:$A$44,MATCH(I62,$A$6:$A$44,1)+1,1)))</f>
        <v>#REF!</v>
      </c>
      <c r="K76" s="461" t="s">
        <v>349</v>
      </c>
      <c r="L76" s="462" t="e">
        <f>IF(K62&lt;$A$6,0,IF(K62&gt;$A$44,0,INDEX($A$6:$A$44,MATCH(K62,$A$6:$A$44,1)+1,1)))</f>
        <v>#REF!</v>
      </c>
      <c r="M76" s="74"/>
      <c r="N76" s="444"/>
      <c r="O76" s="444"/>
      <c r="P76" s="444"/>
      <c r="Q76" s="444"/>
    </row>
    <row r="77" spans="1:17" x14ac:dyDescent="0.3">
      <c r="A77" s="446"/>
      <c r="B77" s="449"/>
      <c r="C77" s="449"/>
      <c r="D77" s="1223"/>
      <c r="E77" s="1172"/>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561">
        <v>1</v>
      </c>
      <c r="F78" s="74"/>
      <c r="G78" s="462" t="e">
        <f>IF(G62&lt;$A$6,0,IF(G62&gt;$A$44,0,VLOOKUP(H76,$A$6:$J$44,3)))</f>
        <v>#REF!</v>
      </c>
      <c r="H78" s="462" t="e">
        <f>IF(G62&lt;$A$6,0,IF(G62&gt;$A$44,0,VLOOKUP(G78,$C$6:$D$44,2)))</f>
        <v>#REF!</v>
      </c>
      <c r="I78" s="462" t="e">
        <f>IF(I62&lt;$A$6,0,IF(I62&gt;$A$44,0,VLOOKUP(J76,$A$6:$J$44,3)))</f>
        <v>#REF!</v>
      </c>
      <c r="J78" s="462" t="e">
        <f>IF(I62&lt;$A$6,0,IF(I62&gt;$A$44,0,VLOOKUP(I78,$C$6:$D$44,2)))</f>
        <v>#REF!</v>
      </c>
      <c r="K78" s="462" t="e">
        <f>IF(K62&lt;$A$6,0,IF(K62&gt;$A$44,0,VLOOKUP(L76,$A$6:$J$44,3)))</f>
        <v>#REF!</v>
      </c>
      <c r="L78" s="462" t="e">
        <f>IF(K62&lt;$A$6,0,IF(K62&gt;$A$44,0,VLOOKUP(K78,$C$6:$D$44,2)))</f>
        <v>#REF!</v>
      </c>
      <c r="M78" s="460"/>
      <c r="N78" s="444"/>
      <c r="O78" s="444"/>
      <c r="P78" s="444"/>
      <c r="Q78" s="444"/>
    </row>
    <row r="79" spans="1:17" x14ac:dyDescent="0.3">
      <c r="A79" s="446"/>
      <c r="B79" s="449"/>
      <c r="C79" s="449"/>
      <c r="D79" s="1223"/>
      <c r="E79" s="561">
        <v>2</v>
      </c>
      <c r="F79" s="74"/>
      <c r="G79" s="462" t="e">
        <f>IF(G62&lt;$A$6,0,IF(G62&gt;$A$44,0,VLOOKUP(H76,$A$6:$J$44,6)))</f>
        <v>#REF!</v>
      </c>
      <c r="H79" s="462" t="e">
        <f>IF(G62&lt;$A$6,0,IF(G62&gt;$A$44,0,VLOOKUP(G79,$F$6:$G$44,2)))</f>
        <v>#REF!</v>
      </c>
      <c r="I79" s="462" t="e">
        <f>IF(I62&lt;$A$6,0,IF(I62&gt;$A$44,0,VLOOKUP(J76,$A$6:$J$44,6)))</f>
        <v>#REF!</v>
      </c>
      <c r="J79" s="462" t="e">
        <f>IF(I62&lt;$A$6,0,IF(I62&gt;$A$44,0,VLOOKUP(I79,$F$6:$G$44,2)))</f>
        <v>#REF!</v>
      </c>
      <c r="K79" s="462" t="e">
        <f>IF(K62&lt;$A$6,0,IF(K62&gt;$A$44,0,VLOOKUP(L76,$A$6:$J$44,6)))</f>
        <v>#REF!</v>
      </c>
      <c r="L79" s="462" t="e">
        <f>IF(K62&lt;$A$6,0,IF(K62&gt;$A$44,0,VLOOKUP(K79,$F$6:$G$44,2)))</f>
        <v>#REF!</v>
      </c>
      <c r="M79" s="460"/>
      <c r="N79" s="444"/>
      <c r="O79" s="444"/>
      <c r="P79" s="444"/>
      <c r="Q79" s="444"/>
    </row>
    <row r="80" spans="1:17" x14ac:dyDescent="0.3">
      <c r="A80" s="446"/>
      <c r="B80" s="449"/>
      <c r="C80" s="449"/>
      <c r="D80" s="1224"/>
      <c r="E80" s="561">
        <v>3</v>
      </c>
      <c r="F80" s="74"/>
      <c r="G80" s="462" t="e">
        <f>IF(G62&lt;$A$6,0,IF(G62&gt;$A$44,0,VLOOKUP(H76,$A$6:$J$44,9)))</f>
        <v>#REF!</v>
      </c>
      <c r="H80" s="462" t="e">
        <f>IF(G62&lt;$A$6,0,IF(G62&gt;$A$44,0,VLOOKUP(G80,$I$6:$J$44,2)))</f>
        <v>#REF!</v>
      </c>
      <c r="I80" s="462" t="e">
        <f>IF(I62&lt;$A$6,0,IF(I62&gt;$A$44,0,VLOOKUP(J76,$A$6:$J$44,9)))</f>
        <v>#REF!</v>
      </c>
      <c r="J80" s="462" t="e">
        <f>IF(I62&lt;$A$6,0,IF(I62&gt;$A$44,0,VLOOKUP(I80,$I$6:$J$44,2)))</f>
        <v>#REF!</v>
      </c>
      <c r="K80" s="462" t="e">
        <f>IF(K62&lt;$A$6,0,IF(K62&gt;$A$44,0,VLOOKUP(L76,$A$6:$J$44,9)))</f>
        <v>#REF!</v>
      </c>
      <c r="L80" s="462" t="e">
        <f>IF(K62&lt;$A$6,0,IF(K62&gt;$A$44,0,VLOOKUP(K80,$I$6:$J$44,2)))</f>
        <v>#REF!</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t="e">
        <f>VLOOKUP(G64,E72:H74,3)</f>
        <v>#REF!</v>
      </c>
      <c r="H85" s="468" t="e">
        <f>VLOOKUP(G64,E72:H74,4)</f>
        <v>#REF!</v>
      </c>
      <c r="I85" s="468" t="e">
        <f>VLOOKUP(G64,E72:J74,5)</f>
        <v>#REF!</v>
      </c>
      <c r="J85" s="468" t="e">
        <f>VLOOKUP(G64,E72:J74,6)</f>
        <v>#REF!</v>
      </c>
      <c r="K85" s="468" t="e">
        <f>VLOOKUP(G64,E72:K74,7)</f>
        <v>#REF!</v>
      </c>
      <c r="L85" s="468" t="e">
        <f>VLOOKUP(G64,E72:L74,8)</f>
        <v>#REF!</v>
      </c>
      <c r="M85" s="469"/>
      <c r="N85" s="444"/>
      <c r="O85" s="444"/>
      <c r="P85" s="444"/>
      <c r="Q85" s="444"/>
    </row>
    <row r="86" spans="1:17" x14ac:dyDescent="0.3">
      <c r="A86" s="446"/>
      <c r="B86" s="1238" t="s">
        <v>350</v>
      </c>
      <c r="C86" s="1238"/>
      <c r="D86" s="1238"/>
      <c r="E86" s="1238"/>
      <c r="F86" s="74"/>
      <c r="G86" s="468" t="e">
        <f>VLOOKUP(G64,E78:H80,3)</f>
        <v>#REF!</v>
      </c>
      <c r="H86" s="468" t="e">
        <f>VLOOKUP(G64,E78:H80,4)</f>
        <v>#REF!</v>
      </c>
      <c r="I86" s="468" t="e">
        <f>VLOOKUP(G64,E78:J80,5)</f>
        <v>#REF!</v>
      </c>
      <c r="J86" s="468" t="e">
        <f>VLOOKUP(G64,E78:J80,6)</f>
        <v>#REF!</v>
      </c>
      <c r="K86" s="468" t="e">
        <f>VLOOKUP(G64,E78:K80,7)</f>
        <v>#REF!</v>
      </c>
      <c r="L86" s="468" t="e">
        <f>VLOOKUP(G64,E78:L80,8)</f>
        <v>#REF!</v>
      </c>
      <c r="M86" s="469"/>
      <c r="N86" s="444"/>
      <c r="O86" s="444"/>
      <c r="P86" s="444"/>
      <c r="Q86" s="444"/>
    </row>
    <row r="87" spans="1:17" x14ac:dyDescent="0.3">
      <c r="A87" s="446"/>
      <c r="B87" s="1245" t="s">
        <v>352</v>
      </c>
      <c r="C87" s="1246"/>
      <c r="D87" s="1246"/>
      <c r="E87" s="1247"/>
      <c r="F87" s="74"/>
      <c r="G87" s="470" t="e">
        <f t="shared" ref="G87:L87" si="2">G86-G85</f>
        <v>#REF!</v>
      </c>
      <c r="H87" s="470" t="e">
        <f t="shared" si="2"/>
        <v>#REF!</v>
      </c>
      <c r="I87" s="470" t="e">
        <f t="shared" si="2"/>
        <v>#REF!</v>
      </c>
      <c r="J87" s="470" t="e">
        <f t="shared" si="2"/>
        <v>#REF!</v>
      </c>
      <c r="K87" s="470" t="e">
        <f t="shared" si="2"/>
        <v>#REF!</v>
      </c>
      <c r="L87" s="470" t="e">
        <f t="shared" si="2"/>
        <v>#REF!</v>
      </c>
      <c r="M87" s="471"/>
      <c r="N87" s="444"/>
      <c r="O87" s="444"/>
      <c r="P87" s="444"/>
      <c r="Q87" s="444"/>
    </row>
    <row r="88" spans="1:17" x14ac:dyDescent="0.3">
      <c r="A88" s="446"/>
      <c r="B88" s="1238" t="s">
        <v>353</v>
      </c>
      <c r="C88" s="1238"/>
      <c r="D88" s="1238"/>
      <c r="E88" s="1238"/>
      <c r="F88" s="74"/>
      <c r="G88" s="470" t="e">
        <f>G62-H70</f>
        <v>#REF!</v>
      </c>
      <c r="H88" s="472" t="e">
        <f>G64</f>
        <v>#REF!</v>
      </c>
      <c r="I88" s="470" t="e">
        <f>I62-J70</f>
        <v>#REF!</v>
      </c>
      <c r="J88" s="472" t="e">
        <f>G64</f>
        <v>#REF!</v>
      </c>
      <c r="K88" s="470" t="e">
        <f>K62-L70</f>
        <v>#REF!</v>
      </c>
      <c r="L88" s="472" t="e">
        <f>G64</f>
        <v>#REF!</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t="e">
        <f t="shared" ref="G93:L93" si="3">G85</f>
        <v>#REF!</v>
      </c>
      <c r="H93" s="468" t="e">
        <f t="shared" si="3"/>
        <v>#REF!</v>
      </c>
      <c r="I93" s="468" t="e">
        <f t="shared" si="3"/>
        <v>#REF!</v>
      </c>
      <c r="J93" s="468" t="e">
        <f t="shared" si="3"/>
        <v>#REF!</v>
      </c>
      <c r="K93" s="468" t="e">
        <f t="shared" si="3"/>
        <v>#REF!</v>
      </c>
      <c r="L93" s="468" t="e">
        <f t="shared" si="3"/>
        <v>#REF!</v>
      </c>
      <c r="M93" s="469"/>
    </row>
    <row r="94" spans="1:17" x14ac:dyDescent="0.3">
      <c r="A94" s="446"/>
      <c r="B94" s="1238" t="s">
        <v>356</v>
      </c>
      <c r="C94" s="1238"/>
      <c r="D94" s="1238"/>
      <c r="E94" s="1238"/>
      <c r="F94" s="473"/>
      <c r="G94" s="468" t="e">
        <f>G88</f>
        <v>#REF!</v>
      </c>
      <c r="H94" s="468" t="e">
        <f>G88</f>
        <v>#REF!</v>
      </c>
      <c r="I94" s="468" t="e">
        <f>I88</f>
        <v>#REF!</v>
      </c>
      <c r="J94" s="468" t="e">
        <f>I88</f>
        <v>#REF!</v>
      </c>
      <c r="K94" s="468" t="e">
        <f>K88</f>
        <v>#REF!</v>
      </c>
      <c r="L94" s="468" t="e">
        <f>K88</f>
        <v>#REF!</v>
      </c>
      <c r="M94" s="469"/>
    </row>
    <row r="95" spans="1:17" x14ac:dyDescent="0.3">
      <c r="A95" s="446"/>
      <c r="B95" s="1238" t="s">
        <v>357</v>
      </c>
      <c r="C95" s="1238"/>
      <c r="D95" s="1238"/>
      <c r="E95" s="1238"/>
      <c r="F95" s="473"/>
      <c r="G95" s="468" t="e">
        <f t="shared" ref="G95:L95" si="4">G87</f>
        <v>#REF!</v>
      </c>
      <c r="H95" s="468" t="e">
        <f t="shared" si="4"/>
        <v>#REF!</v>
      </c>
      <c r="I95" s="468" t="e">
        <f t="shared" si="4"/>
        <v>#REF!</v>
      </c>
      <c r="J95" s="468" t="e">
        <f t="shared" si="4"/>
        <v>#REF!</v>
      </c>
      <c r="K95" s="468" t="e">
        <f t="shared" si="4"/>
        <v>#REF!</v>
      </c>
      <c r="L95" s="468" t="e">
        <f t="shared" si="4"/>
        <v>#REF!</v>
      </c>
      <c r="M95" s="469"/>
    </row>
    <row r="96" spans="1:17" x14ac:dyDescent="0.3">
      <c r="A96" s="446"/>
      <c r="B96" s="1238" t="s">
        <v>358</v>
      </c>
      <c r="C96" s="1238"/>
      <c r="D96" s="1238"/>
      <c r="E96" s="1238"/>
      <c r="F96" s="473"/>
      <c r="G96" s="468" t="e">
        <f>H76-H70</f>
        <v>#REF!</v>
      </c>
      <c r="H96" s="468" t="e">
        <f>H76-H70</f>
        <v>#REF!</v>
      </c>
      <c r="I96" s="468" t="e">
        <f>J76-J70</f>
        <v>#REF!</v>
      </c>
      <c r="J96" s="468" t="e">
        <f>J76-J70</f>
        <v>#REF!</v>
      </c>
      <c r="K96" s="468" t="e">
        <f>L76-L70</f>
        <v>#REF!</v>
      </c>
      <c r="L96" s="468" t="e">
        <f>L76-L70</f>
        <v>#REF!</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t="e">
        <f>IF(G96=0,0,G93+((G94*G95)/G96))</f>
        <v>#REF!</v>
      </c>
      <c r="I98" s="74"/>
      <c r="J98" s="476" t="e">
        <f>IF(I96=0,0,I93+((I94*I95)/I96))</f>
        <v>#REF!</v>
      </c>
      <c r="K98" s="74"/>
      <c r="L98" s="476" t="e">
        <f>IF(K96=0,0,K93+((K94*K95)/K96))</f>
        <v>#REF!</v>
      </c>
      <c r="M98" s="73"/>
    </row>
    <row r="99" spans="1:13" x14ac:dyDescent="0.3">
      <c r="A99" s="446"/>
      <c r="B99" s="394" t="s">
        <v>359</v>
      </c>
      <c r="C99" s="461"/>
      <c r="D99" s="475" t="s">
        <v>339</v>
      </c>
      <c r="E99" s="393"/>
      <c r="F99" s="469"/>
      <c r="G99" s="74"/>
      <c r="H99" s="477" t="e">
        <f>((H102-H98)*0.25)+H98</f>
        <v>#REF!</v>
      </c>
      <c r="I99" s="74"/>
      <c r="J99" s="477" t="e">
        <f>((J102-J98)*0.25)+J98</f>
        <v>#REF!</v>
      </c>
      <c r="K99" s="74"/>
      <c r="L99" s="477" t="e">
        <f>((L102-L98)*0.25)+L98</f>
        <v>#REF!</v>
      </c>
      <c r="M99" s="73"/>
    </row>
    <row r="100" spans="1:13" x14ac:dyDescent="0.3">
      <c r="A100" s="446"/>
      <c r="B100" s="394"/>
      <c r="C100" s="461"/>
      <c r="D100" s="475" t="s">
        <v>340</v>
      </c>
      <c r="E100" s="393"/>
      <c r="F100" s="469"/>
      <c r="G100" s="74"/>
      <c r="H100" s="477" t="e">
        <f>(H102+H98)/2</f>
        <v>#REF!</v>
      </c>
      <c r="I100" s="74"/>
      <c r="J100" s="477" t="e">
        <f>(J102+J98)/2</f>
        <v>#REF!</v>
      </c>
      <c r="K100" s="74"/>
      <c r="L100" s="477" t="e">
        <f>(L102+L98)/2</f>
        <v>#REF!</v>
      </c>
      <c r="M100" s="73"/>
    </row>
    <row r="101" spans="1:13" x14ac:dyDescent="0.3">
      <c r="A101" s="446"/>
      <c r="B101" s="394" t="s">
        <v>360</v>
      </c>
      <c r="C101" s="461"/>
      <c r="D101" s="475" t="s">
        <v>341</v>
      </c>
      <c r="E101" s="393"/>
      <c r="F101" s="469"/>
      <c r="G101" s="74"/>
      <c r="H101" s="477" t="e">
        <f>((H102-H98)*0.75)+H98</f>
        <v>#REF!</v>
      </c>
      <c r="I101" s="74"/>
      <c r="J101" s="477" t="e">
        <f>((J102-J98)*0.75)+J98</f>
        <v>#REF!</v>
      </c>
      <c r="K101" s="74"/>
      <c r="L101" s="477" t="e">
        <f>((L102-L98)*0.75)+L98</f>
        <v>#REF!</v>
      </c>
      <c r="M101" s="73"/>
    </row>
    <row r="102" spans="1:13" ht="15.2" thickBot="1" x14ac:dyDescent="0.35">
      <c r="A102" s="446"/>
      <c r="B102" s="395"/>
      <c r="C102" s="461"/>
      <c r="D102" s="475" t="s">
        <v>342</v>
      </c>
      <c r="E102" s="393"/>
      <c r="F102" s="469"/>
      <c r="G102" s="74"/>
      <c r="H102" s="478" t="e">
        <f>IF(H96=0,0,H93+((H94*H95)/H96))</f>
        <v>#REF!</v>
      </c>
      <c r="I102" s="74"/>
      <c r="J102" s="478" t="e">
        <f>IF(J96=0,0,J93+((J94*J95)/J96))</f>
        <v>#REF!</v>
      </c>
      <c r="K102" s="74"/>
      <c r="L102" s="478" t="e">
        <f>IF(L96=0,0,L93+((L94*L95)/L96))</f>
        <v>#REF!</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t="e">
        <f>G64</f>
        <v>#REF!</v>
      </c>
      <c r="H105" s="480" t="e">
        <f>IF(G65="Basishonorarsatz",H98,IF(G65="Viertelsatz",H99,IF(G65="Mittelsatz",H100,IF(G65="Dreiviertelsatz",H101,H102))))</f>
        <v>#REF!</v>
      </c>
      <c r="I105" s="481" t="e">
        <f>G64</f>
        <v>#REF!</v>
      </c>
      <c r="J105" s="480" t="e">
        <f>IF(G65="Basishonorarsatz",J98,IF(G65="Viertelsatz",J99,IF(G65="Mittelsatz",J100,IF(G65="Dreiviertelsatz",J101,J102))))</f>
        <v>#REF!</v>
      </c>
      <c r="K105" s="481" t="e">
        <f>G64</f>
        <v>#REF!</v>
      </c>
      <c r="L105" s="480" t="e">
        <f>IF(G65="Basishonorarsatz",L98,IF(G65="Viertelsatz",L99,IF(G65="Mittelsatz",L100,IF(G65="Dreiviertelsatz",L101,L102))))</f>
        <v>#REF!</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t="e">
        <f>IF(#REF!="ja",#REF!,0)</f>
        <v>#REF!</v>
      </c>
      <c r="D109" s="1281"/>
      <c r="E109" s="1282" t="e">
        <f>IF(#REF!="ja",#REF!,0)</f>
        <v>#REF!</v>
      </c>
      <c r="F109" s="1273"/>
      <c r="G109" s="490" t="e">
        <f>C109*1.1+E109</f>
        <v>#REF!</v>
      </c>
    </row>
    <row r="110" spans="1:13" x14ac:dyDescent="0.3">
      <c r="B110" s="491">
        <v>2</v>
      </c>
      <c r="C110" s="1158" t="e">
        <f>IF(#REF!="ja",#REF!,0)</f>
        <v>#REF!</v>
      </c>
      <c r="D110" s="1274"/>
      <c r="E110" s="1275" t="e">
        <f>IF(#REF!="ja",#REF!,0)</f>
        <v>#REF!</v>
      </c>
      <c r="F110" s="1159"/>
      <c r="G110" s="490" t="e">
        <f t="shared" ref="G110:G122" si="5">C110*1.1+E110</f>
        <v>#REF!</v>
      </c>
    </row>
    <row r="111" spans="1:13" x14ac:dyDescent="0.3">
      <c r="B111" s="491">
        <v>3</v>
      </c>
      <c r="C111" s="1158" t="e">
        <f>IF(#REF!="ja",#REF!,0)</f>
        <v>#REF!</v>
      </c>
      <c r="D111" s="1274"/>
      <c r="E111" s="1275" t="e">
        <f>IF(#REF!="ja",#REF!,0)</f>
        <v>#REF!</v>
      </c>
      <c r="F111" s="1159"/>
      <c r="G111" s="490" t="e">
        <f t="shared" si="5"/>
        <v>#REF!</v>
      </c>
    </row>
    <row r="112" spans="1:13" x14ac:dyDescent="0.3">
      <c r="B112" s="491">
        <v>4</v>
      </c>
      <c r="C112" s="1158" t="e">
        <f>IF(#REF!="ja",#REF!,0)</f>
        <v>#REF!</v>
      </c>
      <c r="D112" s="1274"/>
      <c r="E112" s="1275" t="e">
        <f>IF(#REF!="ja",#REF!,0)</f>
        <v>#REF!</v>
      </c>
      <c r="F112" s="1159"/>
      <c r="G112" s="490" t="e">
        <f t="shared" si="5"/>
        <v>#REF!</v>
      </c>
    </row>
    <row r="113" spans="2:7" x14ac:dyDescent="0.3">
      <c r="B113" s="491" t="s">
        <v>371</v>
      </c>
      <c r="C113" s="1158" t="e">
        <f>IF(#REF!="ja",#REF!,0)</f>
        <v>#REF!</v>
      </c>
      <c r="D113" s="1274"/>
      <c r="E113" s="1275" t="e">
        <f>IF(#REF!="ja",#REF!+#REF!,0)</f>
        <v>#REF!</v>
      </c>
      <c r="F113" s="1159"/>
      <c r="G113" s="490" t="e">
        <f t="shared" si="5"/>
        <v>#REF!</v>
      </c>
    </row>
    <row r="114" spans="2:7" x14ac:dyDescent="0.3">
      <c r="B114" s="491" t="s">
        <v>372</v>
      </c>
      <c r="C114" s="1158" t="e">
        <f>IF(#REF!="ja",#REF!,0)</f>
        <v>#REF!</v>
      </c>
      <c r="D114" s="1274"/>
      <c r="E114" s="1275" t="e">
        <f>IF(#REF!="ja",#REF!+#REF!+#REF!+#REF!,0)</f>
        <v>#REF!</v>
      </c>
      <c r="F114" s="1159"/>
      <c r="G114" s="490" t="e">
        <f t="shared" si="5"/>
        <v>#REF!</v>
      </c>
    </row>
    <row r="115" spans="2:7" x14ac:dyDescent="0.3">
      <c r="B115" s="491" t="s">
        <v>373</v>
      </c>
      <c r="C115" s="1158" t="e">
        <f>IF(#REF!="ja",#REF!,0)</f>
        <v>#REF!</v>
      </c>
      <c r="D115" s="1274"/>
      <c r="E115" s="1275" t="e">
        <f>IF(#REF!="ja",#REF!,0)</f>
        <v>#REF!</v>
      </c>
      <c r="F115" s="1159"/>
      <c r="G115" s="490" t="e">
        <f t="shared" si="5"/>
        <v>#REF!</v>
      </c>
    </row>
    <row r="116" spans="2:7" x14ac:dyDescent="0.3">
      <c r="B116" s="491" t="s">
        <v>374</v>
      </c>
      <c r="C116" s="1158" t="e">
        <f>IF(#REF!="ja",#REF!,0)</f>
        <v>#REF!</v>
      </c>
      <c r="D116" s="1274"/>
      <c r="E116" s="1275" t="e">
        <f>IF(#REF!="ja",#REF!,0)</f>
        <v>#REF!</v>
      </c>
      <c r="F116" s="1159"/>
      <c r="G116" s="490" t="e">
        <f t="shared" si="5"/>
        <v>#REF!</v>
      </c>
    </row>
    <row r="117" spans="2:7" x14ac:dyDescent="0.3">
      <c r="B117" s="491" t="s">
        <v>375</v>
      </c>
      <c r="C117" s="1158" t="e">
        <f>IF(#REF!="ja",#REF!,0)</f>
        <v>#REF!</v>
      </c>
      <c r="D117" s="1274"/>
      <c r="E117" s="1275" t="e">
        <f>IF(#REF!="ja",#REF!+#REF!,0)</f>
        <v>#REF!</v>
      </c>
      <c r="F117" s="1159"/>
      <c r="G117" s="490" t="e">
        <f t="shared" si="5"/>
        <v>#REF!</v>
      </c>
    </row>
    <row r="118" spans="2:7" x14ac:dyDescent="0.3">
      <c r="B118" s="491" t="s">
        <v>376</v>
      </c>
      <c r="C118" s="1158" t="e">
        <f>IF(#REF!="ja",#REF!,0)</f>
        <v>#REF!</v>
      </c>
      <c r="D118" s="1274"/>
      <c r="E118" s="1275" t="e">
        <f>IF(#REF!="ja",#REF!,0)</f>
        <v>#REF!</v>
      </c>
      <c r="F118" s="1159"/>
      <c r="G118" s="490" t="e">
        <f t="shared" si="5"/>
        <v>#REF!</v>
      </c>
    </row>
    <row r="119" spans="2:7" x14ac:dyDescent="0.3">
      <c r="B119" s="492">
        <v>6</v>
      </c>
      <c r="C119" s="1158" t="e">
        <f>IF(#REF!="ja",#REF!,0)</f>
        <v>#REF!</v>
      </c>
      <c r="D119" s="1274"/>
      <c r="E119" s="1275" t="e">
        <f>IF(#REF!="ja",#REF!,0)</f>
        <v>#REF!</v>
      </c>
      <c r="F119" s="1159"/>
      <c r="G119" s="490" t="e">
        <f t="shared" si="5"/>
        <v>#REF!</v>
      </c>
    </row>
    <row r="120" spans="2:7" x14ac:dyDescent="0.3">
      <c r="B120" s="492">
        <v>7</v>
      </c>
      <c r="C120" s="1158" t="e">
        <f>IF(#REF!="ja",#REF!,0)</f>
        <v>#REF!</v>
      </c>
      <c r="D120" s="1274"/>
      <c r="E120" s="1275" t="e">
        <f>IF(#REF!="ja",#REF!,0)</f>
        <v>#REF!</v>
      </c>
      <c r="F120" s="1159"/>
      <c r="G120" s="490" t="e">
        <f t="shared" si="5"/>
        <v>#REF!</v>
      </c>
    </row>
    <row r="121" spans="2:7" x14ac:dyDescent="0.3">
      <c r="B121" s="492">
        <v>8</v>
      </c>
      <c r="C121" s="1276" t="e">
        <f>IF(#REF!="ja",#REF!,0)</f>
        <v>#REF!</v>
      </c>
      <c r="D121" s="1277"/>
      <c r="E121" s="1275" t="e">
        <f>IF(#REF!="ja",#REF!,0)</f>
        <v>#REF!</v>
      </c>
      <c r="F121" s="1159"/>
      <c r="G121" s="490" t="e">
        <f t="shared" si="5"/>
        <v>#REF!</v>
      </c>
    </row>
    <row r="122" spans="2:7" ht="15.2" thickBot="1" x14ac:dyDescent="0.35">
      <c r="B122" s="493">
        <v>9</v>
      </c>
      <c r="C122" s="1278" t="e">
        <f>IF(#REF!="ja",#REF!,0)</f>
        <v>#REF!</v>
      </c>
      <c r="D122" s="1279"/>
      <c r="E122" s="1280" t="e">
        <f>IF(#REF!="ja",#REF!,0)</f>
        <v>#REF!</v>
      </c>
      <c r="F122" s="1279"/>
      <c r="G122" s="490" t="e">
        <f t="shared" si="5"/>
        <v>#REF!</v>
      </c>
    </row>
    <row r="123" spans="2:7" ht="15.2" thickBot="1" x14ac:dyDescent="0.35">
      <c r="B123" s="494" t="s">
        <v>476</v>
      </c>
      <c r="C123" s="1216" t="e">
        <f>SUM(C109:D122)</f>
        <v>#REF!</v>
      </c>
      <c r="D123" s="1217"/>
      <c r="E123" s="1220" t="e">
        <f>SUM(E109:F122)</f>
        <v>#REF!</v>
      </c>
      <c r="F123" s="1221"/>
    </row>
    <row r="124" spans="2:7" ht="15.2" thickBot="1" x14ac:dyDescent="0.35"/>
    <row r="125" spans="2:7" ht="15.2" thickBot="1" x14ac:dyDescent="0.35">
      <c r="B125" s="495" t="s">
        <v>380</v>
      </c>
      <c r="C125" s="1250" t="e">
        <f>C123*#REF!+C123</f>
        <v>#REF!</v>
      </c>
      <c r="D125" s="1251"/>
      <c r="E125" s="1250" t="e">
        <f>#REF!</f>
        <v>#REF!</v>
      </c>
      <c r="F125" s="1251"/>
    </row>
    <row r="128" spans="2:7" x14ac:dyDescent="0.3">
      <c r="B128" s="384" t="s">
        <v>479</v>
      </c>
      <c r="D128" s="496">
        <v>0.19</v>
      </c>
    </row>
    <row r="130" spans="2:17" ht="15.2" thickBot="1" x14ac:dyDescent="0.35">
      <c r="B130" s="495" t="s">
        <v>478</v>
      </c>
      <c r="C130" s="1250" t="e">
        <f>C125*D128+C125</f>
        <v>#REF!</v>
      </c>
      <c r="D130" s="1251"/>
      <c r="E130" s="1250" t="e">
        <f>E125*D128+E125</f>
        <v>#REF!</v>
      </c>
      <c r="F130" s="1251"/>
    </row>
    <row r="132" spans="2:17" x14ac:dyDescent="0.3">
      <c r="B132" s="384" t="s">
        <v>480</v>
      </c>
      <c r="E132" s="1248" t="e">
        <f>C130+E130</f>
        <v>#REF!</v>
      </c>
      <c r="F132" s="1249"/>
    </row>
    <row r="133" spans="2:17" ht="15.2" thickBot="1" x14ac:dyDescent="0.35"/>
    <row r="134" spans="2:17" ht="15.2" thickBot="1" x14ac:dyDescent="0.35">
      <c r="B134" s="544" t="s">
        <v>115</v>
      </c>
      <c r="C134" s="498" t="s">
        <v>306</v>
      </c>
      <c r="D134" s="499" t="s">
        <v>307</v>
      </c>
      <c r="E134" s="499" t="s">
        <v>308</v>
      </c>
      <c r="F134" s="499" t="s">
        <v>309</v>
      </c>
      <c r="G134" s="499" t="s">
        <v>310</v>
      </c>
      <c r="H134" s="499" t="s">
        <v>311</v>
      </c>
      <c r="I134" s="499" t="s">
        <v>312</v>
      </c>
      <c r="J134" s="499" t="s">
        <v>313</v>
      </c>
      <c r="K134" s="499" t="s">
        <v>314</v>
      </c>
      <c r="L134" s="499" t="s">
        <v>315</v>
      </c>
      <c r="M134" s="499" t="s">
        <v>316</v>
      </c>
      <c r="N134" s="499" t="s">
        <v>317</v>
      </c>
      <c r="O134" s="499" t="s">
        <v>318</v>
      </c>
      <c r="P134" s="499" t="s">
        <v>379</v>
      </c>
      <c r="Q134" s="500" t="s">
        <v>380</v>
      </c>
    </row>
    <row r="135" spans="2:17" x14ac:dyDescent="0.3">
      <c r="B135" s="575">
        <f>IF(Überblick!$H$53&gt;=1,1,"")</f>
        <v>1</v>
      </c>
      <c r="C135" s="507" t="e">
        <f>IF($B135=#REF!,#REF!*#REF!+#REF!+#REF!,0)</f>
        <v>#REF!</v>
      </c>
      <c r="D135" s="507" t="e">
        <f>IF($B135=#REF!,#REF!*#REF!+#REF!+#REF!,0)</f>
        <v>#REF!</v>
      </c>
      <c r="E135" s="507" t="e">
        <f>IF($B135=#REF!,#REF!*#REF!+#REF!+#REF!,0)</f>
        <v>#REF!</v>
      </c>
      <c r="F135" s="507" t="e">
        <f>IF($B135=#REF!,#REF!*#REF!+#REF!+#REF!,0)</f>
        <v>#REF!</v>
      </c>
      <c r="G135" s="507" t="e">
        <f>IF($B135=#REF!,#REF!*#REF!+#REF!+#REF!+#REF!,0)</f>
        <v>#REF!</v>
      </c>
      <c r="H135" s="507" t="e">
        <f>IF($B135=#REF!,#REF!*#REF!+#REF!+#REF!+#REF!+#REF!+#REF!,0)</f>
        <v>#REF!</v>
      </c>
      <c r="I135" s="507" t="e">
        <f>IF($B135=#REF!,#REF!*#REF!+#REF!+#REF!,0)</f>
        <v>#REF!</v>
      </c>
      <c r="J135" s="507" t="e">
        <f>IF($B135=#REF!,#REF!*#REF!+#REF!+#REF!,0)</f>
        <v>#REF!</v>
      </c>
      <c r="K135" s="507" t="e">
        <f>IF($B135=#REF!,#REF!*#REF!+#REF!+#REF!+#REF!,0)</f>
        <v>#REF!</v>
      </c>
      <c r="L135" s="507" t="e">
        <f>IF($B135=#REF!,#REF!*#REF!+#REF!+#REF!,0)</f>
        <v>#REF!</v>
      </c>
      <c r="M135" s="507" t="e">
        <f>IF($B135=#REF!,#REF!*#REF!+#REF!+#REF!,0)</f>
        <v>#REF!</v>
      </c>
      <c r="N135" s="507" t="e">
        <f>IF($B135=#REF!,#REF!*#REF!+#REF!+#REF!,0)</f>
        <v>#REF!</v>
      </c>
      <c r="O135" s="507" t="e">
        <f>IF($B135=#REF!,#REF!*#REF!+#REF!+#REF!,0)</f>
        <v>#REF!</v>
      </c>
      <c r="P135" s="507" t="e">
        <f>IF($B135=#REF!,#REF!*#REF!+#REF!+#REF!,0)</f>
        <v>#REF!</v>
      </c>
      <c r="Q135" s="576" t="e">
        <f>SUM(C135:P135)</f>
        <v>#REF!</v>
      </c>
    </row>
    <row r="136" spans="2:17" x14ac:dyDescent="0.3">
      <c r="B136" s="571">
        <f>IF(Überblick!$H$53&gt;=2,2,"")</f>
        <v>2</v>
      </c>
      <c r="C136" s="507" t="e">
        <f>IF($B136=#REF!,#REF!*#REF!+#REF!+#REF!,0)</f>
        <v>#REF!</v>
      </c>
      <c r="D136" s="507" t="e">
        <f>IF($B136=#REF!,#REF!*#REF!+#REF!+#REF!,0)</f>
        <v>#REF!</v>
      </c>
      <c r="E136" s="507" t="e">
        <f>IF($B136=#REF!,#REF!*#REF!+#REF!+#REF!,0)</f>
        <v>#REF!</v>
      </c>
      <c r="F136" s="507" t="e">
        <f>IF($B136=#REF!,#REF!*#REF!+#REF!+#REF!,0)</f>
        <v>#REF!</v>
      </c>
      <c r="G136" s="507" t="e">
        <f>IF($B136=#REF!,#REF!*#REF!+#REF!+#REF!+#REF!,0)</f>
        <v>#REF!</v>
      </c>
      <c r="H136" s="507" t="e">
        <f>IF($B136=#REF!,#REF!*#REF!+#REF!+#REF!+#REF!+#REF!+#REF!,0)</f>
        <v>#REF!</v>
      </c>
      <c r="I136" s="507" t="e">
        <f>IF($B136=#REF!,#REF!*#REF!+#REF!+#REF!,0)</f>
        <v>#REF!</v>
      </c>
      <c r="J136" s="507" t="e">
        <f>IF($B136=#REF!,#REF!*#REF!+#REF!+#REF!,0)</f>
        <v>#REF!</v>
      </c>
      <c r="K136" s="507" t="e">
        <f>IF($B136=#REF!,#REF!*#REF!+#REF!+#REF!+#REF!,0)</f>
        <v>#REF!</v>
      </c>
      <c r="L136" s="507" t="e">
        <f>IF($B136=#REF!,#REF!*#REF!+#REF!+#REF!,0)</f>
        <v>#REF!</v>
      </c>
      <c r="M136" s="507" t="e">
        <f>IF($B136=#REF!,#REF!*#REF!+#REF!+#REF!,0)</f>
        <v>#REF!</v>
      </c>
      <c r="N136" s="507" t="e">
        <f>IF($B136=#REF!,#REF!*#REF!+#REF!+#REF!,0)</f>
        <v>#REF!</v>
      </c>
      <c r="O136" s="507" t="e">
        <f>IF($B136=#REF!,#REF!*#REF!+#REF!+#REF!,0)</f>
        <v>#REF!</v>
      </c>
      <c r="P136" s="507" t="e">
        <f>IF($B136=#REF!,#REF!*#REF!+#REF!+#REF!,0)</f>
        <v>#REF!</v>
      </c>
      <c r="Q136" s="576" t="e">
        <f t="shared" ref="Q136:Q142" si="6">SUM(C136:P136)</f>
        <v>#REF!</v>
      </c>
    </row>
    <row r="137" spans="2:17" x14ac:dyDescent="0.3">
      <c r="B137" s="571">
        <f>IF(Überblick!$H$53&gt;=3,3,"")</f>
        <v>3</v>
      </c>
      <c r="C137" s="507" t="e">
        <f>IF($B137=#REF!,#REF!*#REF!+#REF!+#REF!,0)</f>
        <v>#REF!</v>
      </c>
      <c r="D137" s="507" t="e">
        <f>IF($B137=#REF!,#REF!*#REF!+#REF!+#REF!,0)</f>
        <v>#REF!</v>
      </c>
      <c r="E137" s="507" t="e">
        <f>IF($B137=#REF!,#REF!*#REF!+#REF!+#REF!,0)</f>
        <v>#REF!</v>
      </c>
      <c r="F137" s="507" t="e">
        <f>IF($B137=#REF!,#REF!*#REF!+#REF!+#REF!,0)</f>
        <v>#REF!</v>
      </c>
      <c r="G137" s="507" t="e">
        <f>IF($B137=#REF!,#REF!*#REF!+#REF!+#REF!+#REF!,0)</f>
        <v>#REF!</v>
      </c>
      <c r="H137" s="507" t="e">
        <f>IF($B137=#REF!,#REF!*#REF!+#REF!+#REF!+#REF!+#REF!+#REF!,0)</f>
        <v>#REF!</v>
      </c>
      <c r="I137" s="507" t="e">
        <f>IF($B137=#REF!,#REF!*#REF!+#REF!+#REF!,0)</f>
        <v>#REF!</v>
      </c>
      <c r="J137" s="507" t="e">
        <f>IF($B137=#REF!,#REF!*#REF!+#REF!+#REF!,0)</f>
        <v>#REF!</v>
      </c>
      <c r="K137" s="507" t="e">
        <f>IF($B137=#REF!,#REF!*#REF!+#REF!+#REF!+#REF!,0)</f>
        <v>#REF!</v>
      </c>
      <c r="L137" s="507" t="e">
        <f>IF($B137=#REF!,#REF!*#REF!+#REF!+#REF!,0)</f>
        <v>#REF!</v>
      </c>
      <c r="M137" s="507" t="e">
        <f>IF($B137=#REF!,#REF!*#REF!+#REF!+#REF!,0)</f>
        <v>#REF!</v>
      </c>
      <c r="N137" s="507" t="e">
        <f>IF($B137=#REF!,#REF!*#REF!+#REF!+#REF!,0)</f>
        <v>#REF!</v>
      </c>
      <c r="O137" s="507" t="e">
        <f>IF($B137=#REF!,#REF!*#REF!+#REF!+#REF!,0)</f>
        <v>#REF!</v>
      </c>
      <c r="P137" s="507" t="e">
        <f>IF($B137=#REF!,#REF!*#REF!+#REF!+#REF!,0)</f>
        <v>#REF!</v>
      </c>
      <c r="Q137" s="576" t="e">
        <f t="shared" si="6"/>
        <v>#REF!</v>
      </c>
    </row>
    <row r="138" spans="2:17" x14ac:dyDescent="0.3">
      <c r="B138" s="571" t="str">
        <f>IF(Überblick!$H$53&gt;=4,4,"")</f>
        <v/>
      </c>
      <c r="C138" s="507" t="e">
        <f>IF($B138=#REF!,#REF!*#REF!+#REF!+#REF!,0)</f>
        <v>#REF!</v>
      </c>
      <c r="D138" s="507" t="e">
        <f>IF($B138=#REF!,#REF!*#REF!+#REF!+#REF!,0)</f>
        <v>#REF!</v>
      </c>
      <c r="E138" s="507" t="e">
        <f>IF($B138=#REF!,#REF!*#REF!+#REF!+#REF!,0)</f>
        <v>#REF!</v>
      </c>
      <c r="F138" s="507" t="e">
        <f>IF($B138=#REF!,#REF!*#REF!+#REF!+#REF!,0)</f>
        <v>#REF!</v>
      </c>
      <c r="G138" s="507" t="e">
        <f>IF($B138=#REF!,#REF!*#REF!+#REF!+#REF!+#REF!,0)</f>
        <v>#REF!</v>
      </c>
      <c r="H138" s="507" t="e">
        <f>IF($B138=#REF!,#REF!*#REF!+#REF!+#REF!+#REF!+#REF!+#REF!,0)</f>
        <v>#REF!</v>
      </c>
      <c r="I138" s="507" t="e">
        <f>IF($B138=#REF!,#REF!*#REF!+#REF!+#REF!,0)</f>
        <v>#REF!</v>
      </c>
      <c r="J138" s="507" t="e">
        <f>IF($B138=#REF!,#REF!*#REF!+#REF!+#REF!,0)</f>
        <v>#REF!</v>
      </c>
      <c r="K138" s="507" t="e">
        <f>IF($B138=#REF!,#REF!*#REF!+#REF!+#REF!+#REF!,0)</f>
        <v>#REF!</v>
      </c>
      <c r="L138" s="507" t="e">
        <f>IF($B138=#REF!,#REF!*#REF!+#REF!+#REF!,0)</f>
        <v>#REF!</v>
      </c>
      <c r="M138" s="507" t="e">
        <f>IF($B138=#REF!,#REF!*#REF!+#REF!+#REF!,0)</f>
        <v>#REF!</v>
      </c>
      <c r="N138" s="507" t="e">
        <f>IF($B138=#REF!,#REF!*#REF!+#REF!+#REF!,0)</f>
        <v>#REF!</v>
      </c>
      <c r="O138" s="507" t="e">
        <f>IF($B138=#REF!,#REF!*#REF!+#REF!+#REF!,0)</f>
        <v>#REF!</v>
      </c>
      <c r="P138" s="507" t="e">
        <f>IF($B138=#REF!,#REF!*#REF!+#REF!+#REF!,0)</f>
        <v>#REF!</v>
      </c>
      <c r="Q138" s="576" t="e">
        <f t="shared" si="6"/>
        <v>#REF!</v>
      </c>
    </row>
    <row r="139" spans="2:17" x14ac:dyDescent="0.3">
      <c r="B139" s="571" t="str">
        <f>IF(Überblick!$H$53&gt;=5,5,"")</f>
        <v/>
      </c>
      <c r="C139" s="507" t="e">
        <f>IF($B139=#REF!,#REF!*#REF!+#REF!+#REF!,0)</f>
        <v>#REF!</v>
      </c>
      <c r="D139" s="507" t="e">
        <f>IF($B139=#REF!,#REF!*#REF!+#REF!+#REF!,0)</f>
        <v>#REF!</v>
      </c>
      <c r="E139" s="507" t="e">
        <f>IF($B139=#REF!,#REF!*#REF!+#REF!+#REF!,0)</f>
        <v>#REF!</v>
      </c>
      <c r="F139" s="507" t="e">
        <f>IF($B139=#REF!,#REF!*#REF!+#REF!+#REF!,0)</f>
        <v>#REF!</v>
      </c>
      <c r="G139" s="507" t="e">
        <f>IF($B139=#REF!,#REF!*#REF!+#REF!+#REF!+#REF!,0)</f>
        <v>#REF!</v>
      </c>
      <c r="H139" s="507" t="e">
        <f>IF($B139=#REF!,#REF!*#REF!+#REF!+#REF!+#REF!+#REF!+#REF!,0)</f>
        <v>#REF!</v>
      </c>
      <c r="I139" s="507" t="e">
        <f>IF($B139=#REF!,#REF!*#REF!+#REF!+#REF!,0)</f>
        <v>#REF!</v>
      </c>
      <c r="J139" s="507" t="e">
        <f>IF($B139=#REF!,#REF!*#REF!+#REF!+#REF!,0)</f>
        <v>#REF!</v>
      </c>
      <c r="K139" s="507" t="e">
        <f>IF($B139=#REF!,#REF!*#REF!+#REF!+#REF!+#REF!,0)</f>
        <v>#REF!</v>
      </c>
      <c r="L139" s="507" t="e">
        <f>IF($B139=#REF!,#REF!*#REF!+#REF!+#REF!,0)</f>
        <v>#REF!</v>
      </c>
      <c r="M139" s="507" t="e">
        <f>IF($B139=#REF!,#REF!*#REF!+#REF!+#REF!,0)</f>
        <v>#REF!</v>
      </c>
      <c r="N139" s="507" t="e">
        <f>IF($B139=#REF!,#REF!*#REF!+#REF!+#REF!,0)</f>
        <v>#REF!</v>
      </c>
      <c r="O139" s="507" t="e">
        <f>IF($B139=#REF!,#REF!*#REF!+#REF!+#REF!,0)</f>
        <v>#REF!</v>
      </c>
      <c r="P139" s="507" t="e">
        <f>IF($B139=#REF!,#REF!*#REF!+#REF!+#REF!,0)</f>
        <v>#REF!</v>
      </c>
      <c r="Q139" s="576" t="e">
        <f t="shared" si="6"/>
        <v>#REF!</v>
      </c>
    </row>
    <row r="140" spans="2:17" x14ac:dyDescent="0.3">
      <c r="B140" s="571" t="str">
        <f>IF(Überblick!$H$53&gt;=6,6,"")</f>
        <v/>
      </c>
      <c r="C140" s="507" t="e">
        <f>IF($B140=#REF!,#REF!*#REF!+#REF!+#REF!,0)</f>
        <v>#REF!</v>
      </c>
      <c r="D140" s="507" t="e">
        <f>IF($B140=#REF!,#REF!*#REF!+#REF!+#REF!,0)</f>
        <v>#REF!</v>
      </c>
      <c r="E140" s="507" t="e">
        <f>IF($B140=#REF!,#REF!*#REF!+#REF!+#REF!,0)</f>
        <v>#REF!</v>
      </c>
      <c r="F140" s="507" t="e">
        <f>IF($B140=#REF!,#REF!*#REF!+#REF!+#REF!,0)</f>
        <v>#REF!</v>
      </c>
      <c r="G140" s="507" t="e">
        <f>IF($B140=#REF!,#REF!*#REF!+#REF!+#REF!+#REF!,0)</f>
        <v>#REF!</v>
      </c>
      <c r="H140" s="507" t="e">
        <f>IF($B140=#REF!,#REF!*#REF!+#REF!+#REF!+#REF!+#REF!+#REF!,0)</f>
        <v>#REF!</v>
      </c>
      <c r="I140" s="507" t="e">
        <f>IF($B140=#REF!,#REF!*#REF!+#REF!+#REF!,0)</f>
        <v>#REF!</v>
      </c>
      <c r="J140" s="507" t="e">
        <f>IF($B140=#REF!,#REF!*#REF!+#REF!+#REF!,0)</f>
        <v>#REF!</v>
      </c>
      <c r="K140" s="507" t="e">
        <f>IF($B140=#REF!,#REF!*#REF!+#REF!+#REF!+#REF!,0)</f>
        <v>#REF!</v>
      </c>
      <c r="L140" s="507" t="e">
        <f>IF($B140=#REF!,#REF!*#REF!+#REF!+#REF!,0)</f>
        <v>#REF!</v>
      </c>
      <c r="M140" s="507" t="e">
        <f>IF($B140=#REF!,#REF!*#REF!+#REF!+#REF!,0)</f>
        <v>#REF!</v>
      </c>
      <c r="N140" s="507" t="e">
        <f>IF($B140=#REF!,#REF!*#REF!+#REF!+#REF!,0)</f>
        <v>#REF!</v>
      </c>
      <c r="O140" s="507" t="e">
        <f>IF($B140=#REF!,#REF!*#REF!+#REF!+#REF!,0)</f>
        <v>#REF!</v>
      </c>
      <c r="P140" s="507" t="e">
        <f>IF($B140=#REF!,#REF!*#REF!+#REF!+#REF!,0)</f>
        <v>#REF!</v>
      </c>
      <c r="Q140" s="576" t="e">
        <f t="shared" si="6"/>
        <v>#REF!</v>
      </c>
    </row>
    <row r="141" spans="2:17" x14ac:dyDescent="0.3">
      <c r="B141" s="571" t="str">
        <f>IF(Überblick!$H$53&gt;=7,7,"")</f>
        <v/>
      </c>
      <c r="C141" s="507" t="e">
        <f>IF($B141=#REF!,#REF!*#REF!+#REF!+#REF!,0)</f>
        <v>#REF!</v>
      </c>
      <c r="D141" s="507" t="e">
        <f>IF($B141=#REF!,#REF!*#REF!+#REF!+#REF!,0)</f>
        <v>#REF!</v>
      </c>
      <c r="E141" s="507" t="e">
        <f>IF($B141=#REF!,#REF!*#REF!+#REF!+#REF!,0)</f>
        <v>#REF!</v>
      </c>
      <c r="F141" s="507" t="e">
        <f>IF($B141=#REF!,#REF!*#REF!+#REF!+#REF!,0)</f>
        <v>#REF!</v>
      </c>
      <c r="G141" s="507" t="e">
        <f>IF($B141=#REF!,#REF!*#REF!+#REF!+#REF!+#REF!,0)</f>
        <v>#REF!</v>
      </c>
      <c r="H141" s="507" t="e">
        <f>IF($B141=#REF!,#REF!*#REF!+#REF!+#REF!+#REF!+#REF!+#REF!,0)</f>
        <v>#REF!</v>
      </c>
      <c r="I141" s="507" t="e">
        <f>IF($B141=#REF!,#REF!*#REF!+#REF!+#REF!,0)</f>
        <v>#REF!</v>
      </c>
      <c r="J141" s="507" t="e">
        <f>IF($B141=#REF!,#REF!*#REF!+#REF!+#REF!,0)</f>
        <v>#REF!</v>
      </c>
      <c r="K141" s="507" t="e">
        <f>IF($B141=#REF!,#REF!*#REF!+#REF!+#REF!+#REF!,0)</f>
        <v>#REF!</v>
      </c>
      <c r="L141" s="507" t="e">
        <f>IF($B141=#REF!,#REF!*#REF!+#REF!+#REF!,0)</f>
        <v>#REF!</v>
      </c>
      <c r="M141" s="507" t="e">
        <f>IF($B141=#REF!,#REF!*#REF!+#REF!+#REF!,0)</f>
        <v>#REF!</v>
      </c>
      <c r="N141" s="507" t="e">
        <f>IF($B141=#REF!,#REF!*#REF!+#REF!+#REF!,0)</f>
        <v>#REF!</v>
      </c>
      <c r="O141" s="507" t="e">
        <f>IF($B141=#REF!,#REF!*#REF!+#REF!+#REF!,0)</f>
        <v>#REF!</v>
      </c>
      <c r="P141" s="507" t="e">
        <f>IF($B141=#REF!,#REF!*#REF!+#REF!+#REF!,0)</f>
        <v>#REF!</v>
      </c>
      <c r="Q141" s="576" t="e">
        <f t="shared" si="6"/>
        <v>#REF!</v>
      </c>
    </row>
    <row r="142" spans="2:17" ht="15.2" thickBot="1" x14ac:dyDescent="0.35">
      <c r="B142" s="578" t="str">
        <f>IF(Überblick!$H$53&gt;=8,8,"")</f>
        <v/>
      </c>
      <c r="C142" s="507" t="e">
        <f>IF($B142=#REF!,#REF!*#REF!+#REF!+#REF!,0)</f>
        <v>#REF!</v>
      </c>
      <c r="D142" s="507" t="e">
        <f>IF($B142=#REF!,#REF!*#REF!+#REF!+#REF!,0)</f>
        <v>#REF!</v>
      </c>
      <c r="E142" s="507" t="e">
        <f>IF($B142=#REF!,#REF!*#REF!+#REF!+#REF!,0)</f>
        <v>#REF!</v>
      </c>
      <c r="F142" s="507" t="e">
        <f>IF($B142=#REF!,#REF!*#REF!+#REF!+#REF!,0)</f>
        <v>#REF!</v>
      </c>
      <c r="G142" s="507" t="e">
        <f>IF($B142=#REF!,#REF!*#REF!+#REF!+#REF!+#REF!,0)</f>
        <v>#REF!</v>
      </c>
      <c r="H142" s="507" t="e">
        <f>IF($B142=#REF!,#REF!*#REF!+#REF!+#REF!+#REF!+#REF!+#REF!,0)</f>
        <v>#REF!</v>
      </c>
      <c r="I142" s="507" t="e">
        <f>IF($B142=#REF!,#REF!*#REF!+#REF!+#REF!,0)</f>
        <v>#REF!</v>
      </c>
      <c r="J142" s="507" t="e">
        <f>IF($B142=#REF!,#REF!*#REF!+#REF!+#REF!,0)</f>
        <v>#REF!</v>
      </c>
      <c r="K142" s="507" t="e">
        <f>IF($B142=#REF!,#REF!*#REF!+#REF!+#REF!+#REF!,0)</f>
        <v>#REF!</v>
      </c>
      <c r="L142" s="507" t="e">
        <f>IF($B142=#REF!,#REF!*#REF!+#REF!+#REF!,0)</f>
        <v>#REF!</v>
      </c>
      <c r="M142" s="507" t="e">
        <f>IF($B142=#REF!,#REF!*#REF!+#REF!+#REF!,0)</f>
        <v>#REF!</v>
      </c>
      <c r="N142" s="507" t="e">
        <f>IF($B142=#REF!,#REF!*#REF!+#REF!+#REF!,0)</f>
        <v>#REF!</v>
      </c>
      <c r="O142" s="507" t="e">
        <f>IF($B142=#REF!,#REF!*#REF!+#REF!+#REF!,0)</f>
        <v>#REF!</v>
      </c>
      <c r="P142" s="507" t="e">
        <f>IF($B142=#REF!,#REF!*#REF!+#REF!+#REF!,0)</f>
        <v>#REF!</v>
      </c>
      <c r="Q142" s="576" t="e">
        <f t="shared" si="6"/>
        <v>#REF!</v>
      </c>
    </row>
    <row r="143" spans="2:17" ht="15.2" thickBot="1" x14ac:dyDescent="0.35">
      <c r="B143" s="578">
        <v>9</v>
      </c>
      <c r="C143" s="507" t="e">
        <f>IF($B143=#REF!,#REF!*#REF!+#REF!+#REF!,0)</f>
        <v>#REF!</v>
      </c>
      <c r="D143" s="507" t="e">
        <f>IF($B143=#REF!,#REF!*#REF!+#REF!+#REF!,0)</f>
        <v>#REF!</v>
      </c>
      <c r="E143" s="507" t="e">
        <f>IF($B143=#REF!,#REF!*#REF!+#REF!+#REF!,0)</f>
        <v>#REF!</v>
      </c>
      <c r="F143" s="507" t="e">
        <f>IF($B143=#REF!,#REF!*#REF!+#REF!+#REF!,0)</f>
        <v>#REF!</v>
      </c>
      <c r="G143" s="507" t="e">
        <f>IF($B143=#REF!,#REF!*#REF!+#REF!+#REF!+#REF!,0)</f>
        <v>#REF!</v>
      </c>
      <c r="H143" s="507" t="e">
        <f>IF($B143=#REF!,#REF!*#REF!+#REF!+#REF!+#REF!+#REF!+#REF!,0)</f>
        <v>#REF!</v>
      </c>
      <c r="I143" s="507" t="e">
        <f>IF($B143=#REF!,#REF!*#REF!+#REF!+#REF!,0)</f>
        <v>#REF!</v>
      </c>
      <c r="J143" s="507" t="e">
        <f>IF($B143=#REF!,#REF!*#REF!+#REF!+#REF!,0)</f>
        <v>#REF!</v>
      </c>
      <c r="K143" s="507" t="e">
        <f>IF($B143=#REF!,#REF!*#REF!+#REF!+#REF!+#REF!,0)</f>
        <v>#REF!</v>
      </c>
      <c r="L143" s="507" t="e">
        <f>IF($B143=#REF!,#REF!*#REF!+#REF!+#REF!,0)</f>
        <v>#REF!</v>
      </c>
      <c r="M143" s="507" t="e">
        <f>IF($B143=#REF!,#REF!*#REF!+#REF!+#REF!,0)</f>
        <v>#REF!</v>
      </c>
      <c r="N143" s="507" t="e">
        <f>IF($B143=#REF!,#REF!*#REF!+#REF!+#REF!,0)</f>
        <v>#REF!</v>
      </c>
      <c r="O143" s="507" t="e">
        <f>IF($B143=#REF!,#REF!*#REF!+#REF!+#REF!,0)</f>
        <v>#REF!</v>
      </c>
      <c r="P143" s="507" t="e">
        <f>IF($B143=#REF!,#REF!*#REF!+#REF!+#REF!,0)</f>
        <v>#REF!</v>
      </c>
      <c r="Q143" s="576" t="e">
        <f t="shared" ref="Q143" si="7">SUM(C143:P143)</f>
        <v>#REF!</v>
      </c>
    </row>
    <row r="155" spans="2:4" x14ac:dyDescent="0.3">
      <c r="B155" s="514"/>
      <c r="C155" s="515"/>
      <c r="D155" s="516"/>
    </row>
  </sheetData>
  <mergeCells count="84">
    <mergeCell ref="E132:F132"/>
    <mergeCell ref="C123:D123"/>
    <mergeCell ref="E123:F123"/>
    <mergeCell ref="C125:D125"/>
    <mergeCell ref="E125:F125"/>
    <mergeCell ref="C130:D130"/>
    <mergeCell ref="E130:F130"/>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14:D114"/>
    <mergeCell ref="E114:F114"/>
    <mergeCell ref="C115:D115"/>
    <mergeCell ref="E115:F115"/>
    <mergeCell ref="C116:D116"/>
    <mergeCell ref="E116:F116"/>
    <mergeCell ref="C111:D111"/>
    <mergeCell ref="E111:F111"/>
    <mergeCell ref="C112:D112"/>
    <mergeCell ref="E112:F112"/>
    <mergeCell ref="C113:D113"/>
    <mergeCell ref="E113:F113"/>
    <mergeCell ref="C110:D110"/>
    <mergeCell ref="E110:F110"/>
    <mergeCell ref="B95:E95"/>
    <mergeCell ref="B96:E96"/>
    <mergeCell ref="G104:H104"/>
    <mergeCell ref="C107:F107"/>
    <mergeCell ref="C108:D108"/>
    <mergeCell ref="E108:F108"/>
    <mergeCell ref="C109:D109"/>
    <mergeCell ref="E109:F109"/>
    <mergeCell ref="I104:J104"/>
    <mergeCell ref="K104:L104"/>
    <mergeCell ref="B105:E105"/>
    <mergeCell ref="B85:E85"/>
    <mergeCell ref="B86:E86"/>
    <mergeCell ref="B87:E87"/>
    <mergeCell ref="B88:E88"/>
    <mergeCell ref="B93:E93"/>
    <mergeCell ref="B94:E94"/>
    <mergeCell ref="E76:E77"/>
    <mergeCell ref="B64:E64"/>
    <mergeCell ref="G64:H64"/>
    <mergeCell ref="J64:K64"/>
    <mergeCell ref="B65:E65"/>
    <mergeCell ref="G65:H65"/>
    <mergeCell ref="J65:K65"/>
    <mergeCell ref="G69:H69"/>
    <mergeCell ref="I69:J69"/>
    <mergeCell ref="K69:L69"/>
    <mergeCell ref="E70:E71"/>
    <mergeCell ref="D76:D80"/>
    <mergeCell ref="D70:D74"/>
    <mergeCell ref="G50:H50"/>
    <mergeCell ref="J50:K50"/>
    <mergeCell ref="G52:G54"/>
    <mergeCell ref="G56:G60"/>
    <mergeCell ref="B62:E62"/>
    <mergeCell ref="G62:H62"/>
    <mergeCell ref="I62:J62"/>
    <mergeCell ref="K62:L62"/>
    <mergeCell ref="I2:J2"/>
    <mergeCell ref="C3:D3"/>
    <mergeCell ref="F3:G3"/>
    <mergeCell ref="I3:J3"/>
    <mergeCell ref="C5:D5"/>
    <mergeCell ref="F5:G5"/>
    <mergeCell ref="I5:J5"/>
    <mergeCell ref="B26:B44"/>
    <mergeCell ref="E26:E44"/>
    <mergeCell ref="H26:H44"/>
    <mergeCell ref="A2:A5"/>
    <mergeCell ref="C2:D2"/>
    <mergeCell ref="F2:G2"/>
  </mergeCells>
  <conditionalFormatting sqref="A6:A44">
    <cfRule type="colorScale" priority="7">
      <colorScale>
        <cfvo type="min"/>
        <cfvo type="percentile" val="50"/>
        <cfvo type="max"/>
        <color rgb="FF63BE7B"/>
        <color rgb="FFFFEB84"/>
        <color rgb="FFF8696B"/>
      </colorScale>
    </cfRule>
  </conditionalFormatting>
  <conditionalFormatting sqref="C6:C44">
    <cfRule type="colorScale" priority="6">
      <colorScale>
        <cfvo type="min"/>
        <cfvo type="percentile" val="50"/>
        <cfvo type="max"/>
        <color rgb="FF63BE7B"/>
        <color rgb="FFFFEB84"/>
        <color rgb="FFF8696B"/>
      </colorScale>
    </cfRule>
  </conditionalFormatting>
  <conditionalFormatting sqref="D6:D44">
    <cfRule type="colorScale" priority="5">
      <colorScale>
        <cfvo type="min"/>
        <cfvo type="percentile" val="50"/>
        <cfvo type="max"/>
        <color rgb="FF63BE7B"/>
        <color rgb="FFFFEB84"/>
        <color rgb="FFF8696B"/>
      </colorScale>
    </cfRule>
  </conditionalFormatting>
  <conditionalFormatting sqref="F6:F44">
    <cfRule type="colorScale" priority="4">
      <colorScale>
        <cfvo type="min"/>
        <cfvo type="percentile" val="50"/>
        <cfvo type="max"/>
        <color rgb="FF63BE7B"/>
        <color rgb="FFFFEB84"/>
        <color rgb="FFF8696B"/>
      </colorScale>
    </cfRule>
  </conditionalFormatting>
  <conditionalFormatting sqref="G6:G44">
    <cfRule type="colorScale" priority="3">
      <colorScale>
        <cfvo type="min"/>
        <cfvo type="percentile" val="50"/>
        <cfvo type="max"/>
        <color rgb="FF63BE7B"/>
        <color rgb="FFFFEB84"/>
        <color rgb="FFF8696B"/>
      </colorScale>
    </cfRule>
  </conditionalFormatting>
  <conditionalFormatting sqref="I6:I44">
    <cfRule type="colorScale" priority="2">
      <colorScale>
        <cfvo type="min"/>
        <cfvo type="percentile" val="50"/>
        <cfvo type="max"/>
        <color rgb="FF63BE7B"/>
        <color rgb="FFFFEB84"/>
        <color rgb="FFF8696B"/>
      </colorScale>
    </cfRule>
  </conditionalFormatting>
  <conditionalFormatting sqref="J6:J44">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4A05-AF23-4BEF-8080-8C6D9904AD80}">
  <sheetPr codeName="Tabelle11">
    <tabColor rgb="FFFFC000"/>
  </sheetPr>
  <dimension ref="A1:Q156"/>
  <sheetViews>
    <sheetView workbookViewId="0"/>
  </sheetViews>
  <sheetFormatPr baseColWidth="10" defaultColWidth="11.44140625" defaultRowHeight="14.55" x14ac:dyDescent="0.3"/>
  <cols>
    <col min="1" max="1" width="12.6640625" style="384" bestFit="1" customWidth="1"/>
    <col min="2" max="2" width="11.5546875" style="384" bestFit="1" customWidth="1"/>
    <col min="3" max="4" width="11.6640625" style="384" bestFit="1" customWidth="1"/>
    <col min="5" max="5" width="11.5546875" style="384" bestFit="1" customWidth="1"/>
    <col min="6" max="7" width="11.6640625" style="384" bestFit="1" customWidth="1"/>
    <col min="8" max="8" width="15" style="384" bestFit="1" customWidth="1"/>
    <col min="9" max="9" width="11.6640625" style="384" bestFit="1" customWidth="1"/>
    <col min="10" max="12" width="12" style="384" bestFit="1" customWidth="1"/>
    <col min="13" max="16" width="11.5546875" style="384" bestFit="1" customWidth="1"/>
    <col min="17" max="17" width="12"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ht="15" customHeight="1" x14ac:dyDescent="0.3">
      <c r="A2" s="1195" t="s">
        <v>321</v>
      </c>
      <c r="B2" s="390"/>
      <c r="C2" s="1200" t="s">
        <v>322</v>
      </c>
      <c r="D2" s="1201"/>
      <c r="E2" s="390"/>
      <c r="F2" s="1200" t="s">
        <v>323</v>
      </c>
      <c r="G2" s="1201"/>
      <c r="H2" s="390"/>
      <c r="I2" s="1200" t="s">
        <v>324</v>
      </c>
      <c r="J2" s="1201"/>
    </row>
    <row r="3" spans="1:13" ht="1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5">
        <v>2547</v>
      </c>
      <c r="G6" s="426">
        <v>2990</v>
      </c>
      <c r="H6" s="422"/>
      <c r="I6" s="425">
        <v>2990</v>
      </c>
      <c r="J6" s="426">
        <v>3405</v>
      </c>
    </row>
    <row r="7" spans="1:13" x14ac:dyDescent="0.3">
      <c r="A7" s="427">
        <v>10000</v>
      </c>
      <c r="B7" s="422"/>
      <c r="C7" s="428">
        <v>3689</v>
      </c>
      <c r="D7" s="429">
        <v>4408</v>
      </c>
      <c r="E7" s="422"/>
      <c r="F7" s="428">
        <v>4408</v>
      </c>
      <c r="G7" s="430">
        <v>5174</v>
      </c>
      <c r="H7" s="422"/>
      <c r="I7" s="428">
        <v>5174</v>
      </c>
      <c r="J7" s="430">
        <v>5893</v>
      </c>
    </row>
    <row r="8" spans="1:13" x14ac:dyDescent="0.3">
      <c r="A8" s="427">
        <v>15000</v>
      </c>
      <c r="B8" s="422"/>
      <c r="C8" s="428">
        <v>5084</v>
      </c>
      <c r="D8" s="429">
        <v>6075</v>
      </c>
      <c r="E8" s="422"/>
      <c r="F8" s="428">
        <v>6075</v>
      </c>
      <c r="G8" s="430">
        <v>7131</v>
      </c>
      <c r="H8" s="422"/>
      <c r="I8" s="428">
        <v>7131</v>
      </c>
      <c r="J8" s="430">
        <v>8122</v>
      </c>
    </row>
    <row r="9" spans="1:13" x14ac:dyDescent="0.3">
      <c r="A9" s="427">
        <v>25000</v>
      </c>
      <c r="B9" s="422"/>
      <c r="C9" s="428">
        <v>7615</v>
      </c>
      <c r="D9" s="429">
        <v>9098</v>
      </c>
      <c r="E9" s="422"/>
      <c r="F9" s="428">
        <v>9098</v>
      </c>
      <c r="G9" s="430">
        <v>10681</v>
      </c>
      <c r="H9" s="422"/>
      <c r="I9" s="428">
        <v>10681</v>
      </c>
      <c r="J9" s="430">
        <v>12164</v>
      </c>
    </row>
    <row r="10" spans="1:13" x14ac:dyDescent="0.3">
      <c r="A10" s="427">
        <v>35000</v>
      </c>
      <c r="B10" s="422"/>
      <c r="C10" s="428">
        <v>9934</v>
      </c>
      <c r="D10" s="429">
        <v>11869</v>
      </c>
      <c r="E10" s="422"/>
      <c r="F10" s="428">
        <v>11869</v>
      </c>
      <c r="G10" s="430">
        <v>13934</v>
      </c>
      <c r="H10" s="422"/>
      <c r="I10" s="428">
        <v>13934</v>
      </c>
      <c r="J10" s="430">
        <v>15869</v>
      </c>
    </row>
    <row r="11" spans="1:13" x14ac:dyDescent="0.3">
      <c r="A11" s="427">
        <v>50000</v>
      </c>
      <c r="B11" s="422"/>
      <c r="C11" s="428">
        <v>13165</v>
      </c>
      <c r="D11" s="429">
        <v>15729</v>
      </c>
      <c r="E11" s="422"/>
      <c r="F11" s="428">
        <v>15729</v>
      </c>
      <c r="G11" s="430">
        <v>18465</v>
      </c>
      <c r="H11" s="422"/>
      <c r="I11" s="428">
        <v>18465</v>
      </c>
      <c r="J11" s="430">
        <v>21029</v>
      </c>
    </row>
    <row r="12" spans="1:13" x14ac:dyDescent="0.3">
      <c r="A12" s="427">
        <v>75000</v>
      </c>
      <c r="B12" s="422"/>
      <c r="C12" s="428">
        <v>18122</v>
      </c>
      <c r="D12" s="429">
        <v>21652</v>
      </c>
      <c r="E12" s="422"/>
      <c r="F12" s="428">
        <v>21652</v>
      </c>
      <c r="G12" s="430">
        <v>25418</v>
      </c>
      <c r="H12" s="422"/>
      <c r="I12" s="428">
        <v>25418</v>
      </c>
      <c r="J12" s="430">
        <v>28948</v>
      </c>
    </row>
    <row r="13" spans="1:13" x14ac:dyDescent="0.3">
      <c r="A13" s="427">
        <v>100000</v>
      </c>
      <c r="B13" s="422"/>
      <c r="C13" s="428">
        <v>22723</v>
      </c>
      <c r="D13" s="429">
        <v>27150</v>
      </c>
      <c r="E13" s="422"/>
      <c r="F13" s="428">
        <v>27150</v>
      </c>
      <c r="G13" s="430">
        <v>31872</v>
      </c>
      <c r="H13" s="422"/>
      <c r="I13" s="428">
        <v>31872</v>
      </c>
      <c r="J13" s="430">
        <v>36299</v>
      </c>
    </row>
    <row r="14" spans="1:13" x14ac:dyDescent="0.3">
      <c r="A14" s="427">
        <v>150000</v>
      </c>
      <c r="B14" s="422"/>
      <c r="C14" s="428">
        <v>31228</v>
      </c>
      <c r="D14" s="429">
        <v>37311</v>
      </c>
      <c r="E14" s="422"/>
      <c r="F14" s="428">
        <v>37311</v>
      </c>
      <c r="G14" s="430">
        <v>43800</v>
      </c>
      <c r="H14" s="422"/>
      <c r="I14" s="428">
        <v>43800</v>
      </c>
      <c r="J14" s="430">
        <v>49883</v>
      </c>
    </row>
    <row r="15" spans="1:13" x14ac:dyDescent="0.3">
      <c r="A15" s="427">
        <v>250000</v>
      </c>
      <c r="B15" s="422"/>
      <c r="C15" s="428">
        <v>46640</v>
      </c>
      <c r="D15" s="429">
        <v>55726</v>
      </c>
      <c r="E15" s="422"/>
      <c r="F15" s="428">
        <v>55726</v>
      </c>
      <c r="G15" s="430">
        <v>65418</v>
      </c>
      <c r="H15" s="422"/>
      <c r="I15" s="428">
        <v>65418</v>
      </c>
      <c r="J15" s="430">
        <v>74504</v>
      </c>
    </row>
    <row r="16" spans="1:13" x14ac:dyDescent="0.3">
      <c r="A16" s="427">
        <v>500000</v>
      </c>
      <c r="B16" s="422"/>
      <c r="C16" s="428">
        <v>80684</v>
      </c>
      <c r="D16" s="429">
        <v>96402</v>
      </c>
      <c r="E16" s="422"/>
      <c r="F16" s="428">
        <v>96402</v>
      </c>
      <c r="G16" s="430">
        <v>113168</v>
      </c>
      <c r="H16" s="422"/>
      <c r="I16" s="428">
        <v>113168</v>
      </c>
      <c r="J16" s="430">
        <v>128886</v>
      </c>
    </row>
    <row r="17" spans="1:10" x14ac:dyDescent="0.3">
      <c r="A17" s="427">
        <v>750000</v>
      </c>
      <c r="B17" s="422"/>
      <c r="C17" s="428">
        <v>111105</v>
      </c>
      <c r="D17" s="429">
        <v>132749</v>
      </c>
      <c r="E17" s="422"/>
      <c r="F17" s="428">
        <v>132749</v>
      </c>
      <c r="G17" s="430">
        <v>155836</v>
      </c>
      <c r="H17" s="422"/>
      <c r="I17" s="428">
        <v>155836</v>
      </c>
      <c r="J17" s="430">
        <v>177480</v>
      </c>
    </row>
    <row r="18" spans="1:10" x14ac:dyDescent="0.3">
      <c r="A18" s="427">
        <v>1000000</v>
      </c>
      <c r="B18" s="422"/>
      <c r="C18" s="428">
        <v>139347</v>
      </c>
      <c r="D18" s="429">
        <v>166493</v>
      </c>
      <c r="E18" s="422"/>
      <c r="F18" s="428">
        <v>166493</v>
      </c>
      <c r="G18" s="430">
        <v>195448</v>
      </c>
      <c r="H18" s="422"/>
      <c r="I18" s="428">
        <v>195448</v>
      </c>
      <c r="J18" s="430">
        <v>222594</v>
      </c>
    </row>
    <row r="19" spans="1:10" x14ac:dyDescent="0.3">
      <c r="A19" s="427">
        <v>1250000</v>
      </c>
      <c r="B19" s="422"/>
      <c r="C19" s="428">
        <v>166043</v>
      </c>
      <c r="D19" s="429">
        <v>198389</v>
      </c>
      <c r="E19" s="422"/>
      <c r="F19" s="428">
        <v>198389</v>
      </c>
      <c r="G19" s="430">
        <v>232891</v>
      </c>
      <c r="H19" s="422"/>
      <c r="I19" s="428">
        <v>232891</v>
      </c>
      <c r="J19" s="430">
        <v>265237</v>
      </c>
    </row>
    <row r="20" spans="1:10" x14ac:dyDescent="0.3">
      <c r="A20" s="427">
        <v>1500000</v>
      </c>
      <c r="B20" s="422"/>
      <c r="C20" s="428">
        <v>191545</v>
      </c>
      <c r="D20" s="429">
        <v>228859</v>
      </c>
      <c r="E20" s="422"/>
      <c r="F20" s="428">
        <v>228859</v>
      </c>
      <c r="G20" s="430">
        <v>268660</v>
      </c>
      <c r="H20" s="422"/>
      <c r="I20" s="428">
        <v>268660</v>
      </c>
      <c r="J20" s="430">
        <v>305974</v>
      </c>
    </row>
    <row r="21" spans="1:10" x14ac:dyDescent="0.3">
      <c r="A21" s="427">
        <v>2000000</v>
      </c>
      <c r="B21" s="422"/>
      <c r="C21" s="428">
        <v>239792</v>
      </c>
      <c r="D21" s="429">
        <v>286504</v>
      </c>
      <c r="E21" s="422"/>
      <c r="F21" s="428">
        <v>286504</v>
      </c>
      <c r="G21" s="430">
        <v>336331</v>
      </c>
      <c r="H21" s="422"/>
      <c r="I21" s="428">
        <v>336331</v>
      </c>
      <c r="J21" s="430">
        <v>383044</v>
      </c>
    </row>
    <row r="22" spans="1:10" x14ac:dyDescent="0.3">
      <c r="A22" s="427">
        <v>2500000</v>
      </c>
      <c r="B22" s="422"/>
      <c r="C22" s="428">
        <v>285649</v>
      </c>
      <c r="D22" s="429">
        <v>341295</v>
      </c>
      <c r="E22" s="422"/>
      <c r="F22" s="428">
        <v>341295</v>
      </c>
      <c r="G22" s="430">
        <v>400650</v>
      </c>
      <c r="H22" s="422"/>
      <c r="I22" s="428">
        <v>400650</v>
      </c>
      <c r="J22" s="430">
        <v>456296</v>
      </c>
    </row>
    <row r="23" spans="1:10" x14ac:dyDescent="0.3">
      <c r="A23" s="427">
        <v>3000000</v>
      </c>
      <c r="B23" s="422"/>
      <c r="C23" s="428">
        <v>329420</v>
      </c>
      <c r="D23" s="429">
        <v>393593</v>
      </c>
      <c r="E23" s="422"/>
      <c r="F23" s="428">
        <v>393593</v>
      </c>
      <c r="G23" s="430">
        <v>462044</v>
      </c>
      <c r="H23" s="422"/>
      <c r="I23" s="428">
        <v>462044</v>
      </c>
      <c r="J23" s="430">
        <v>526217</v>
      </c>
    </row>
    <row r="24" spans="1:10" x14ac:dyDescent="0.3">
      <c r="A24" s="427">
        <v>3500000</v>
      </c>
      <c r="B24" s="422"/>
      <c r="C24" s="428">
        <v>371491</v>
      </c>
      <c r="D24" s="429">
        <v>443859</v>
      </c>
      <c r="E24" s="422"/>
      <c r="F24" s="428">
        <v>443859</v>
      </c>
      <c r="G24" s="430">
        <v>521052</v>
      </c>
      <c r="H24" s="422"/>
      <c r="I24" s="428">
        <v>521052</v>
      </c>
      <c r="J24" s="430">
        <v>593420</v>
      </c>
    </row>
    <row r="25" spans="1:10" ht="15.2" thickBot="1" x14ac:dyDescent="0.35">
      <c r="A25" s="427">
        <v>4000000</v>
      </c>
      <c r="B25" s="431"/>
      <c r="C25" s="428">
        <v>412126</v>
      </c>
      <c r="D25" s="429">
        <v>492410</v>
      </c>
      <c r="E25" s="432"/>
      <c r="F25" s="428">
        <v>492410</v>
      </c>
      <c r="G25" s="429">
        <v>578046</v>
      </c>
      <c r="H25" s="422"/>
      <c r="I25" s="428">
        <v>578046</v>
      </c>
      <c r="J25" s="429">
        <v>658331</v>
      </c>
    </row>
    <row r="26" spans="1:10" x14ac:dyDescent="0.3">
      <c r="A26" s="427">
        <v>5000000</v>
      </c>
      <c r="B26" s="1255" t="s">
        <v>334</v>
      </c>
      <c r="C26" s="428">
        <v>491179</v>
      </c>
      <c r="D26" s="429">
        <v>586864</v>
      </c>
      <c r="E26" s="1255" t="s">
        <v>334</v>
      </c>
      <c r="F26" s="428">
        <f>D26</f>
        <v>586864</v>
      </c>
      <c r="G26" s="429">
        <v>688927</v>
      </c>
      <c r="H26" s="1255" t="s">
        <v>334</v>
      </c>
      <c r="I26" s="428">
        <f>G26</f>
        <v>688927</v>
      </c>
      <c r="J26" s="429">
        <v>784611</v>
      </c>
    </row>
    <row r="27" spans="1:10" x14ac:dyDescent="0.3">
      <c r="A27" s="427">
        <v>6000000</v>
      </c>
      <c r="B27" s="1256"/>
      <c r="C27" s="428">
        <v>566898</v>
      </c>
      <c r="D27" s="429">
        <v>677333</v>
      </c>
      <c r="E27" s="1256"/>
      <c r="F27" s="428">
        <f>D27</f>
        <v>677333</v>
      </c>
      <c r="G27" s="429">
        <v>795130</v>
      </c>
      <c r="H27" s="1256"/>
      <c r="I27" s="428">
        <f>G27</f>
        <v>795130</v>
      </c>
      <c r="J27" s="429">
        <v>905564</v>
      </c>
    </row>
    <row r="28" spans="1:10" x14ac:dyDescent="0.3">
      <c r="A28" s="427">
        <v>7000000</v>
      </c>
      <c r="B28" s="1256"/>
      <c r="C28" s="428">
        <v>639950</v>
      </c>
      <c r="D28" s="429">
        <v>764616</v>
      </c>
      <c r="E28" s="1256"/>
      <c r="F28" s="428">
        <f t="shared" ref="F28:F44" si="0">D28</f>
        <v>764616</v>
      </c>
      <c r="G28" s="429">
        <v>897593</v>
      </c>
      <c r="H28" s="1256"/>
      <c r="I28" s="428">
        <f t="shared" ref="I28:I44" si="1">G28</f>
        <v>897593</v>
      </c>
      <c r="J28" s="429">
        <v>1022258</v>
      </c>
    </row>
    <row r="29" spans="1:10" x14ac:dyDescent="0.3">
      <c r="A29" s="427">
        <v>8000000</v>
      </c>
      <c r="B29" s="1256"/>
      <c r="C29" s="428">
        <v>710795</v>
      </c>
      <c r="D29" s="429">
        <v>849261</v>
      </c>
      <c r="E29" s="1256"/>
      <c r="F29" s="428">
        <f t="shared" si="0"/>
        <v>849261</v>
      </c>
      <c r="G29" s="429">
        <v>996959</v>
      </c>
      <c r="H29" s="1256"/>
      <c r="I29" s="428">
        <f t="shared" si="1"/>
        <v>996959</v>
      </c>
      <c r="J29" s="429">
        <v>1135425</v>
      </c>
    </row>
    <row r="30" spans="1:10" x14ac:dyDescent="0.3">
      <c r="A30" s="427">
        <v>9000000</v>
      </c>
      <c r="B30" s="1256"/>
      <c r="C30" s="428">
        <v>779763</v>
      </c>
      <c r="D30" s="429">
        <v>931665</v>
      </c>
      <c r="E30" s="1256"/>
      <c r="F30" s="428">
        <f t="shared" si="0"/>
        <v>931665</v>
      </c>
      <c r="G30" s="429">
        <v>1093694</v>
      </c>
      <c r="H30" s="1256"/>
      <c r="I30" s="428">
        <f t="shared" si="1"/>
        <v>1093694</v>
      </c>
      <c r="J30" s="429">
        <v>1245595</v>
      </c>
    </row>
    <row r="31" spans="1:10" x14ac:dyDescent="0.3">
      <c r="A31" s="427">
        <v>10000000</v>
      </c>
      <c r="B31" s="1256"/>
      <c r="C31" s="428">
        <v>847106</v>
      </c>
      <c r="D31" s="429">
        <v>1012127</v>
      </c>
      <c r="E31" s="1256"/>
      <c r="F31" s="428">
        <f t="shared" si="0"/>
        <v>1012127</v>
      </c>
      <c r="G31" s="429">
        <v>1188149</v>
      </c>
      <c r="H31" s="1256"/>
      <c r="I31" s="428">
        <f t="shared" si="1"/>
        <v>1188149</v>
      </c>
      <c r="J31" s="429">
        <v>1353170</v>
      </c>
    </row>
    <row r="32" spans="1:10" x14ac:dyDescent="0.3">
      <c r="A32" s="427">
        <v>12500000</v>
      </c>
      <c r="B32" s="1256"/>
      <c r="C32" s="428">
        <v>1009545</v>
      </c>
      <c r="D32" s="429">
        <v>1206209</v>
      </c>
      <c r="E32" s="1256"/>
      <c r="F32" s="428">
        <f t="shared" si="0"/>
        <v>1206209</v>
      </c>
      <c r="G32" s="429">
        <v>1415985</v>
      </c>
      <c r="H32" s="1256"/>
      <c r="I32" s="428">
        <f t="shared" si="1"/>
        <v>1415985</v>
      </c>
      <c r="J32" s="429">
        <v>1612649</v>
      </c>
    </row>
    <row r="33" spans="1:17" x14ac:dyDescent="0.3">
      <c r="A33" s="427">
        <v>15000000</v>
      </c>
      <c r="B33" s="1256"/>
      <c r="C33" s="428">
        <v>1165120</v>
      </c>
      <c r="D33" s="429">
        <v>1392092</v>
      </c>
      <c r="E33" s="1256"/>
      <c r="F33" s="428">
        <f t="shared" si="0"/>
        <v>1392092</v>
      </c>
      <c r="G33" s="429">
        <v>1634195</v>
      </c>
      <c r="H33" s="1256"/>
      <c r="I33" s="428">
        <f t="shared" si="1"/>
        <v>1634195</v>
      </c>
      <c r="J33" s="429">
        <v>1861166</v>
      </c>
    </row>
    <row r="34" spans="1:17" x14ac:dyDescent="0.3">
      <c r="A34" s="427">
        <v>17500000</v>
      </c>
      <c r="B34" s="1256"/>
      <c r="C34" s="428">
        <v>1315210</v>
      </c>
      <c r="D34" s="429">
        <v>1571419</v>
      </c>
      <c r="E34" s="1256"/>
      <c r="F34" s="428">
        <f t="shared" si="0"/>
        <v>1571419</v>
      </c>
      <c r="G34" s="429">
        <v>1844710</v>
      </c>
      <c r="H34" s="1256"/>
      <c r="I34" s="428">
        <f t="shared" si="1"/>
        <v>1844710</v>
      </c>
      <c r="J34" s="429">
        <v>2100919</v>
      </c>
    </row>
    <row r="35" spans="1:17" x14ac:dyDescent="0.3">
      <c r="A35" s="427">
        <v>20000000</v>
      </c>
      <c r="B35" s="1256"/>
      <c r="C35" s="428">
        <v>1460755</v>
      </c>
      <c r="D35" s="429">
        <v>1745318</v>
      </c>
      <c r="E35" s="1256"/>
      <c r="F35" s="428">
        <f t="shared" si="0"/>
        <v>1745318</v>
      </c>
      <c r="G35" s="429">
        <v>2048852</v>
      </c>
      <c r="H35" s="1256"/>
      <c r="I35" s="428">
        <f t="shared" si="1"/>
        <v>2048852</v>
      </c>
      <c r="J35" s="429">
        <v>2333414</v>
      </c>
    </row>
    <row r="36" spans="1:17" x14ac:dyDescent="0.3">
      <c r="A36" s="427">
        <v>25000000</v>
      </c>
      <c r="B36" s="1256"/>
      <c r="C36" s="428">
        <v>1740783</v>
      </c>
      <c r="D36" s="429">
        <v>2079896</v>
      </c>
      <c r="E36" s="1256"/>
      <c r="F36" s="428">
        <f t="shared" si="0"/>
        <v>2079896</v>
      </c>
      <c r="G36" s="429">
        <v>2441617</v>
      </c>
      <c r="H36" s="1256"/>
      <c r="I36" s="428">
        <f t="shared" si="1"/>
        <v>2441617</v>
      </c>
      <c r="J36" s="429">
        <v>2780731</v>
      </c>
    </row>
    <row r="37" spans="1:17" x14ac:dyDescent="0.3">
      <c r="A37" s="427">
        <v>30000000</v>
      </c>
      <c r="B37" s="1256"/>
      <c r="C37" s="428">
        <v>2008964</v>
      </c>
      <c r="D37" s="429">
        <v>2400321</v>
      </c>
      <c r="E37" s="1256"/>
      <c r="F37" s="428">
        <f t="shared" si="0"/>
        <v>2400321</v>
      </c>
      <c r="G37" s="429">
        <v>2817768</v>
      </c>
      <c r="H37" s="1256"/>
      <c r="I37" s="428">
        <f t="shared" si="1"/>
        <v>2817768</v>
      </c>
      <c r="J37" s="429">
        <v>3209125</v>
      </c>
    </row>
    <row r="38" spans="1:17" x14ac:dyDescent="0.3">
      <c r="A38" s="427">
        <v>40000000</v>
      </c>
      <c r="B38" s="1256"/>
      <c r="C38" s="428">
        <v>2518545</v>
      </c>
      <c r="D38" s="429">
        <v>3009171</v>
      </c>
      <c r="E38" s="1256"/>
      <c r="F38" s="428">
        <f t="shared" si="0"/>
        <v>3009171</v>
      </c>
      <c r="G38" s="429">
        <v>3532505</v>
      </c>
      <c r="H38" s="1256"/>
      <c r="I38" s="428">
        <f t="shared" si="1"/>
        <v>3532505</v>
      </c>
      <c r="J38" s="429">
        <v>4023130</v>
      </c>
    </row>
    <row r="39" spans="1:17" x14ac:dyDescent="0.3">
      <c r="A39" s="427">
        <v>50000000</v>
      </c>
      <c r="B39" s="1256"/>
      <c r="C39" s="428">
        <v>3001186</v>
      </c>
      <c r="D39" s="429">
        <v>3585832</v>
      </c>
      <c r="E39" s="1256"/>
      <c r="F39" s="428">
        <f t="shared" si="0"/>
        <v>3585832</v>
      </c>
      <c r="G39" s="429">
        <v>4209455</v>
      </c>
      <c r="H39" s="1256"/>
      <c r="I39" s="428">
        <f t="shared" si="1"/>
        <v>4209455</v>
      </c>
      <c r="J39" s="429">
        <v>4794102</v>
      </c>
    </row>
    <row r="40" spans="1:17" x14ac:dyDescent="0.3">
      <c r="A40" s="427">
        <v>75000000</v>
      </c>
      <c r="B40" s="1256"/>
      <c r="C40" s="428">
        <v>4126934</v>
      </c>
      <c r="D40" s="429">
        <v>4930882</v>
      </c>
      <c r="E40" s="1256"/>
      <c r="F40" s="428">
        <f t="shared" si="0"/>
        <v>4930882</v>
      </c>
      <c r="G40" s="429">
        <v>5788426</v>
      </c>
      <c r="H40" s="1256"/>
      <c r="I40" s="428">
        <f t="shared" si="1"/>
        <v>5788426</v>
      </c>
      <c r="J40" s="429">
        <v>6592374</v>
      </c>
    </row>
    <row r="41" spans="1:17" x14ac:dyDescent="0.3">
      <c r="A41" s="427">
        <v>100000000</v>
      </c>
      <c r="B41" s="1256"/>
      <c r="C41" s="428">
        <v>5173197</v>
      </c>
      <c r="D41" s="429">
        <v>6180963</v>
      </c>
      <c r="E41" s="1256"/>
      <c r="F41" s="428">
        <f t="shared" si="0"/>
        <v>6180963</v>
      </c>
      <c r="G41" s="429">
        <v>7255913</v>
      </c>
      <c r="H41" s="1256"/>
      <c r="I41" s="428">
        <f t="shared" si="1"/>
        <v>7255913</v>
      </c>
      <c r="J41" s="429">
        <v>8263678</v>
      </c>
    </row>
    <row r="42" spans="1:17" x14ac:dyDescent="0.3">
      <c r="A42" s="427">
        <v>150000000</v>
      </c>
      <c r="B42" s="1256"/>
      <c r="C42" s="428">
        <v>7112783</v>
      </c>
      <c r="D42" s="429">
        <v>8498390</v>
      </c>
      <c r="E42" s="1256"/>
      <c r="F42" s="428">
        <f t="shared" si="0"/>
        <v>8498390</v>
      </c>
      <c r="G42" s="429">
        <v>9976370</v>
      </c>
      <c r="H42" s="1256"/>
      <c r="I42" s="428">
        <f t="shared" si="1"/>
        <v>9976370</v>
      </c>
      <c r="J42" s="429">
        <v>11361977</v>
      </c>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row>
    <row r="45" spans="1:17" x14ac:dyDescent="0.3">
      <c r="A45" s="436"/>
      <c r="B45" s="431"/>
      <c r="C45" s="436"/>
      <c r="D45" s="436"/>
      <c r="E45" s="431"/>
      <c r="F45" s="436"/>
      <c r="G45" s="436"/>
      <c r="H45" s="431"/>
      <c r="I45" s="436"/>
      <c r="J45" s="436"/>
    </row>
    <row r="46" spans="1:17" s="445" customFormat="1" ht="26.25" customHeight="1" x14ac:dyDescent="0.3">
      <c r="A46" s="437"/>
      <c r="B46" s="438" t="s">
        <v>481</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t="e">
        <f>#REF!</f>
        <v>#REF!</v>
      </c>
      <c r="H62" s="1263"/>
      <c r="I62" s="1262" t="e">
        <f>#REF!</f>
        <v>#REF!</v>
      </c>
      <c r="J62" s="1263"/>
      <c r="K62" s="1262" t="e">
        <f>#REF!</f>
        <v>#REF!</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t="e">
        <f>#REF!</f>
        <v>#REF!</v>
      </c>
      <c r="H64" s="1182"/>
      <c r="J64" s="1258"/>
      <c r="K64" s="1258"/>
      <c r="L64" s="456"/>
      <c r="M64" s="459"/>
      <c r="N64" s="443"/>
      <c r="O64" s="443"/>
      <c r="P64" s="443"/>
      <c r="Q64" s="444"/>
    </row>
    <row r="65" spans="1:17" x14ac:dyDescent="0.3">
      <c r="A65" s="446"/>
      <c r="B65" s="1242" t="s">
        <v>338</v>
      </c>
      <c r="C65" s="1243"/>
      <c r="D65" s="1243"/>
      <c r="E65" s="1244"/>
      <c r="F65" s="458"/>
      <c r="G65" s="1181" t="e">
        <f>#REF!</f>
        <v>#REF!</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252" t="s">
        <v>337</v>
      </c>
      <c r="F70" s="460"/>
      <c r="G70" s="461" t="s">
        <v>349</v>
      </c>
      <c r="H70" s="462" t="e">
        <f>IF(G62&lt;$A$6,0,IF(G62&gt;$A$44,0,VLOOKUP(G62,$A$6:$A$44,1)))</f>
        <v>#REF!</v>
      </c>
      <c r="I70" s="461" t="s">
        <v>349</v>
      </c>
      <c r="J70" s="462" t="e">
        <f>IF(I62&lt;$A$6,0,IF(I62&gt;$A$44,0,VLOOKUP(I62,$A$6:$A$44,1)))</f>
        <v>#REF!</v>
      </c>
      <c r="K70" s="461" t="s">
        <v>349</v>
      </c>
      <c r="L70" s="462" t="e">
        <f>IF(K62&lt;$A$6,0,IF(K62&gt;$A$44,0,VLOOKUP(K62,$A$6:$A$44,1)))</f>
        <v>#REF!</v>
      </c>
      <c r="M70" s="74"/>
      <c r="N70" s="444"/>
      <c r="O70" s="444"/>
      <c r="P70" s="444"/>
      <c r="Q70" s="444"/>
    </row>
    <row r="71" spans="1:17" x14ac:dyDescent="0.3">
      <c r="A71" s="446"/>
      <c r="B71" s="449"/>
      <c r="C71" s="449"/>
      <c r="D71" s="1223"/>
      <c r="E71" s="1254"/>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387">
        <v>1</v>
      </c>
      <c r="F72" s="74"/>
      <c r="G72" s="462" t="e">
        <f>IF(G62&lt;$A$6,0,IF(G62&gt;$A$44,0,VLOOKUP(H70,$A$6:$J$44,3)))</f>
        <v>#REF!</v>
      </c>
      <c r="H72" s="462" t="e">
        <f>IF(G62&lt;$A$6,0,IF(G62&gt;$A$44,0,VLOOKUP(G72,$C$6:$D$44,2)))</f>
        <v>#REF!</v>
      </c>
      <c r="I72" s="462" t="e">
        <f>IF(I62&lt;$A$6,0,IF(I62&gt;$A$44,0,VLOOKUP(J70,$A$6:$J$44,3)))</f>
        <v>#REF!</v>
      </c>
      <c r="J72" s="462" t="e">
        <f>IF(I62&lt;$A$6,0,IF(I62&gt;$A$44,0,VLOOKUP(I72,$C$6:$D$44,2)))</f>
        <v>#REF!</v>
      </c>
      <c r="K72" s="462" t="e">
        <f>IF(K62&lt;$A$6,0,IF(K62&gt;$A$44,0,VLOOKUP(L70,$A$6:$J$44,3)))</f>
        <v>#REF!</v>
      </c>
      <c r="L72" s="462" t="e">
        <f>IF(K62&lt;$A$6,0,IF(K62&gt;$A$44,0,VLOOKUP(K72,$C$6:$D$44,2)))</f>
        <v>#REF!</v>
      </c>
      <c r="M72" s="460"/>
      <c r="N72" s="444"/>
      <c r="O72" s="444"/>
      <c r="P72" s="444"/>
      <c r="Q72" s="444"/>
    </row>
    <row r="73" spans="1:17" x14ac:dyDescent="0.3">
      <c r="A73" s="446"/>
      <c r="B73" s="449"/>
      <c r="C73" s="449"/>
      <c r="D73" s="1223"/>
      <c r="E73" s="387">
        <v>2</v>
      </c>
      <c r="F73" s="74"/>
      <c r="G73" s="462" t="e">
        <f>IF(G62&lt;$A$6,0,IF(G62&gt;$A$44,0,VLOOKUP(H70,$A$6:$J$44,6)))</f>
        <v>#REF!</v>
      </c>
      <c r="H73" s="462" t="e">
        <f>IF(G62&lt;$A$6,0,IF(G62&gt;$A$44,0,VLOOKUP(G73,$F$6:$G$44,2)))</f>
        <v>#REF!</v>
      </c>
      <c r="I73" s="462" t="e">
        <f>IF(I62&lt;$A$6,0,IF(I62&gt;$A$44,0,VLOOKUP(J70,$A$6:$J$44,6)))</f>
        <v>#REF!</v>
      </c>
      <c r="J73" s="462" t="e">
        <f>IF(I62&lt;$A$6,0,IF(I62&gt;$A$44,0,VLOOKUP(I73,$F$6:$G$44,2)))</f>
        <v>#REF!</v>
      </c>
      <c r="K73" s="462" t="e">
        <f>IF(K62&lt;$A$6,0,IF(K62&gt;$A$44,0,VLOOKUP(L70,$A$6:$J$44,6)))</f>
        <v>#REF!</v>
      </c>
      <c r="L73" s="462" t="e">
        <f>IF(K62&lt;$A$6,0,IF(K62&gt;$A$44,0,VLOOKUP(K73,$F$6:$G$44,2)))</f>
        <v>#REF!</v>
      </c>
      <c r="M73" s="460"/>
      <c r="N73" s="444"/>
      <c r="O73" s="444"/>
      <c r="P73" s="444"/>
      <c r="Q73" s="444"/>
    </row>
    <row r="74" spans="1:17" x14ac:dyDescent="0.3">
      <c r="A74" s="446"/>
      <c r="B74" s="449"/>
      <c r="C74" s="449"/>
      <c r="D74" s="1224"/>
      <c r="E74" s="387">
        <v>3</v>
      </c>
      <c r="F74" s="74"/>
      <c r="G74" s="462" t="e">
        <f>IF(G62&lt;$A$6,0,IF(G62&gt;$A$44,0,VLOOKUP(H70,$A$6:$J$44,9)))</f>
        <v>#REF!</v>
      </c>
      <c r="H74" s="462" t="e">
        <f>IF(G62&lt;$A$6,0,IF(G62&gt;$A$44,0,VLOOKUP(G74,$I$6:$J$44,2)))</f>
        <v>#REF!</v>
      </c>
      <c r="I74" s="462" t="e">
        <f>IF(I62&lt;$A$6,0,IF(I62&gt;$A$44,0,VLOOKUP(J70,$A$6:$J$44,9)))</f>
        <v>#REF!</v>
      </c>
      <c r="J74" s="462" t="e">
        <f>IF(I62&lt;$A$6,0,IF(I62&gt;$A$44,0,VLOOKUP(I74,$I$6:$J$44,2)))</f>
        <v>#REF!</v>
      </c>
      <c r="K74" s="462" t="e">
        <f>IF(K62&lt;$A$6,0,IF(K62&gt;$A$44,0,VLOOKUP(L70,$A$6:$J$44,9)))</f>
        <v>#REF!</v>
      </c>
      <c r="L74" s="462" t="e">
        <f>IF(K62&lt;$A$6,0,IF(K62&gt;$A$44,0,VLOOKUP(K74,$I$6:$J$44,2)))</f>
        <v>#REF!</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252" t="s">
        <v>337</v>
      </c>
      <c r="F76" s="74"/>
      <c r="G76" s="461" t="s">
        <v>349</v>
      </c>
      <c r="H76" s="462" t="e">
        <f>IF(G62&lt;$A$6,0,IF(G62&gt;$A$44,0,INDEX($A$6:$A$44,MATCH(G62,$A$6:$A$44,1)+1,1)))</f>
        <v>#REF!</v>
      </c>
      <c r="I76" s="461" t="s">
        <v>349</v>
      </c>
      <c r="J76" s="462" t="e">
        <f>IF(I62&lt;$A$6,0,IF(I62&gt;$A$44,0,INDEX($A$6:$A$44,MATCH(I62,$A$6:$A$44,1)+1,1)))</f>
        <v>#REF!</v>
      </c>
      <c r="K76" s="461" t="s">
        <v>349</v>
      </c>
      <c r="L76" s="462" t="e">
        <f>IF(K62&lt;$A$6,0,IF(K62&gt;$A$44,0,INDEX($A$6:$A$44,MATCH(K62,$A$6:$A$44,1)+1,1)))</f>
        <v>#REF!</v>
      </c>
      <c r="M76" s="74"/>
      <c r="N76" s="444"/>
      <c r="O76" s="444"/>
      <c r="P76" s="444"/>
      <c r="Q76" s="444"/>
    </row>
    <row r="77" spans="1:17" x14ac:dyDescent="0.3">
      <c r="A77" s="446"/>
      <c r="B77" s="449"/>
      <c r="C77" s="449"/>
      <c r="D77" s="1223"/>
      <c r="E77" s="1254"/>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387">
        <v>1</v>
      </c>
      <c r="F78" s="74"/>
      <c r="G78" s="462" t="e">
        <f>IF(G62&lt;$A$6,0,IF(G62&gt;$A$44,0,VLOOKUP(H76,$A$6:$J$44,3)))</f>
        <v>#REF!</v>
      </c>
      <c r="H78" s="462" t="e">
        <f>IF(G62&lt;$A$6,0,IF(G62&gt;$A$44,0,VLOOKUP(G78,$C$6:$D$44,2)))</f>
        <v>#REF!</v>
      </c>
      <c r="I78" s="462" t="e">
        <f>IF(I62&lt;$A$6,0,IF(I62&gt;$A$44,0,VLOOKUP(J76,$A$6:$J$44,3)))</f>
        <v>#REF!</v>
      </c>
      <c r="J78" s="462" t="e">
        <f>IF(I62&lt;$A$6,0,IF(I62&gt;$A$44,0,VLOOKUP(I78,$C$6:$D$44,2)))</f>
        <v>#REF!</v>
      </c>
      <c r="K78" s="462" t="e">
        <f>IF(K62&lt;$A$6,0,IF(K62&gt;$A$44,0,VLOOKUP(L76,$A$6:$J$44,3)))</f>
        <v>#REF!</v>
      </c>
      <c r="L78" s="462" t="e">
        <f>IF(K62&lt;$A$6,0,IF(K62&gt;$A$44,0,VLOOKUP(K78,$C$6:$D$44,2)))</f>
        <v>#REF!</v>
      </c>
      <c r="M78" s="460"/>
      <c r="N78" s="444"/>
      <c r="O78" s="444"/>
      <c r="P78" s="444"/>
      <c r="Q78" s="444"/>
    </row>
    <row r="79" spans="1:17" x14ac:dyDescent="0.3">
      <c r="A79" s="446"/>
      <c r="B79" s="449"/>
      <c r="C79" s="449"/>
      <c r="D79" s="1223"/>
      <c r="E79" s="387">
        <v>2</v>
      </c>
      <c r="F79" s="74"/>
      <c r="G79" s="462" t="e">
        <f>IF(G62&lt;$A$6,0,IF(G62&gt;$A$44,0,VLOOKUP(H76,$A$6:$J$44,6)))</f>
        <v>#REF!</v>
      </c>
      <c r="H79" s="462" t="e">
        <f>IF(G62&lt;$A$6,0,IF(G62&gt;$A$44,0,VLOOKUP(G79,$F$6:$G$44,2)))</f>
        <v>#REF!</v>
      </c>
      <c r="I79" s="462" t="e">
        <f>IF(I62&lt;$A$6,0,IF(I62&gt;$A$44,0,VLOOKUP(J76,$A$6:$J$44,6)))</f>
        <v>#REF!</v>
      </c>
      <c r="J79" s="462" t="e">
        <f>IF(I62&lt;$A$6,0,IF(I62&gt;$A$44,0,VLOOKUP(I79,$F$6:$G$44,2)))</f>
        <v>#REF!</v>
      </c>
      <c r="K79" s="462" t="e">
        <f>IF(K62&lt;$A$6,0,IF(K62&gt;$A$44,0,VLOOKUP(L76,$A$6:$J$44,6)))</f>
        <v>#REF!</v>
      </c>
      <c r="L79" s="462" t="e">
        <f>IF(K62&lt;$A$6,0,IF(K62&gt;$A$44,0,VLOOKUP(K79,$F$6:$G$44,2)))</f>
        <v>#REF!</v>
      </c>
      <c r="M79" s="460"/>
      <c r="N79" s="444"/>
      <c r="O79" s="444"/>
      <c r="P79" s="444"/>
      <c r="Q79" s="444"/>
    </row>
    <row r="80" spans="1:17" x14ac:dyDescent="0.3">
      <c r="A80" s="446"/>
      <c r="B80" s="449"/>
      <c r="C80" s="449"/>
      <c r="D80" s="1224"/>
      <c r="E80" s="387">
        <v>3</v>
      </c>
      <c r="F80" s="74"/>
      <c r="G80" s="462" t="e">
        <f>IF(G62&lt;$A$6,0,IF(G62&gt;$A$44,0,VLOOKUP(H76,$A$6:$J$44,9)))</f>
        <v>#REF!</v>
      </c>
      <c r="H80" s="462" t="e">
        <f>IF(G62&lt;$A$6,0,IF(G62&gt;$A$44,0,VLOOKUP(G80,$I$6:$J$44,2)))</f>
        <v>#REF!</v>
      </c>
      <c r="I80" s="462" t="e">
        <f>IF(I62&lt;$A$6,0,IF(I62&gt;$A$44,0,VLOOKUP(J76,$A$6:$J$44,9)))</f>
        <v>#REF!</v>
      </c>
      <c r="J80" s="462" t="e">
        <f>IF(I62&lt;$A$6,0,IF(I62&gt;$A$44,0,VLOOKUP(I80,$I$6:$J$44,2)))</f>
        <v>#REF!</v>
      </c>
      <c r="K80" s="462" t="e">
        <f>IF(K62&lt;$A$6,0,IF(K62&gt;$A$44,0,VLOOKUP(L76,$A$6:$J$44,9)))</f>
        <v>#REF!</v>
      </c>
      <c r="L80" s="462" t="e">
        <f>IF(K62&lt;$A$6,0,IF(K62&gt;$A$44,0,VLOOKUP(K80,$I$6:$J$44,2)))</f>
        <v>#REF!</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t="e">
        <f>VLOOKUP(G64,E72:H74,3)</f>
        <v>#REF!</v>
      </c>
      <c r="H85" s="468" t="e">
        <f>VLOOKUP(G64,E72:H74,4)</f>
        <v>#REF!</v>
      </c>
      <c r="I85" s="468" t="e">
        <f>VLOOKUP(G64,E72:J74,5)</f>
        <v>#REF!</v>
      </c>
      <c r="J85" s="468" t="e">
        <f>VLOOKUP(G64,E72:J74,6)</f>
        <v>#REF!</v>
      </c>
      <c r="K85" s="468" t="e">
        <f>VLOOKUP(G64,E72:K74,7)</f>
        <v>#REF!</v>
      </c>
      <c r="L85" s="468" t="e">
        <f>VLOOKUP(G64,E72:L74,8)</f>
        <v>#REF!</v>
      </c>
      <c r="M85" s="469"/>
      <c r="N85" s="444"/>
      <c r="O85" s="444"/>
      <c r="P85" s="444"/>
      <c r="Q85" s="444"/>
    </row>
    <row r="86" spans="1:17" x14ac:dyDescent="0.3">
      <c r="A86" s="446"/>
      <c r="B86" s="1238" t="s">
        <v>350</v>
      </c>
      <c r="C86" s="1238"/>
      <c r="D86" s="1238"/>
      <c r="E86" s="1238"/>
      <c r="F86" s="74"/>
      <c r="G86" s="468" t="e">
        <f>VLOOKUP(G64,E78:H80,3)</f>
        <v>#REF!</v>
      </c>
      <c r="H86" s="468" t="e">
        <f>VLOOKUP(G64,E78:H80,4)</f>
        <v>#REF!</v>
      </c>
      <c r="I86" s="468" t="e">
        <f>VLOOKUP(G64,E78:J80,5)</f>
        <v>#REF!</v>
      </c>
      <c r="J86" s="468" t="e">
        <f>VLOOKUP(G64,E78:J80,6)</f>
        <v>#REF!</v>
      </c>
      <c r="K86" s="468" t="e">
        <f>VLOOKUP(G64,E78:K80,7)</f>
        <v>#REF!</v>
      </c>
      <c r="L86" s="468" t="e">
        <f>VLOOKUP(G64,E78:L80,8)</f>
        <v>#REF!</v>
      </c>
      <c r="M86" s="469"/>
      <c r="N86" s="444"/>
      <c r="O86" s="444"/>
      <c r="P86" s="444"/>
      <c r="Q86" s="444"/>
    </row>
    <row r="87" spans="1:17" x14ac:dyDescent="0.3">
      <c r="A87" s="446"/>
      <c r="B87" s="1245" t="s">
        <v>352</v>
      </c>
      <c r="C87" s="1246"/>
      <c r="D87" s="1246"/>
      <c r="E87" s="1247"/>
      <c r="F87" s="74"/>
      <c r="G87" s="470" t="e">
        <f t="shared" ref="G87:L87" si="2">G86-G85</f>
        <v>#REF!</v>
      </c>
      <c r="H87" s="470" t="e">
        <f t="shared" si="2"/>
        <v>#REF!</v>
      </c>
      <c r="I87" s="470" t="e">
        <f t="shared" si="2"/>
        <v>#REF!</v>
      </c>
      <c r="J87" s="470" t="e">
        <f t="shared" si="2"/>
        <v>#REF!</v>
      </c>
      <c r="K87" s="470" t="e">
        <f t="shared" si="2"/>
        <v>#REF!</v>
      </c>
      <c r="L87" s="470" t="e">
        <f t="shared" si="2"/>
        <v>#REF!</v>
      </c>
      <c r="M87" s="471"/>
      <c r="N87" s="444"/>
      <c r="O87" s="444"/>
      <c r="P87" s="444"/>
      <c r="Q87" s="444"/>
    </row>
    <row r="88" spans="1:17" x14ac:dyDescent="0.3">
      <c r="A88" s="446"/>
      <c r="B88" s="1238" t="s">
        <v>353</v>
      </c>
      <c r="C88" s="1238"/>
      <c r="D88" s="1238"/>
      <c r="E88" s="1238"/>
      <c r="F88" s="74"/>
      <c r="G88" s="470" t="e">
        <f>G62-H70</f>
        <v>#REF!</v>
      </c>
      <c r="H88" s="472" t="e">
        <f>G64</f>
        <v>#REF!</v>
      </c>
      <c r="I88" s="470" t="e">
        <f>I62-J70</f>
        <v>#REF!</v>
      </c>
      <c r="J88" s="472" t="e">
        <f>G64</f>
        <v>#REF!</v>
      </c>
      <c r="K88" s="470" t="e">
        <f>K62-L70</f>
        <v>#REF!</v>
      </c>
      <c r="L88" s="472" t="e">
        <f>G64</f>
        <v>#REF!</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t="e">
        <f t="shared" ref="G93:L93" si="3">G85</f>
        <v>#REF!</v>
      </c>
      <c r="H93" s="468" t="e">
        <f t="shared" si="3"/>
        <v>#REF!</v>
      </c>
      <c r="I93" s="468" t="e">
        <f t="shared" si="3"/>
        <v>#REF!</v>
      </c>
      <c r="J93" s="468" t="e">
        <f t="shared" si="3"/>
        <v>#REF!</v>
      </c>
      <c r="K93" s="468" t="e">
        <f t="shared" si="3"/>
        <v>#REF!</v>
      </c>
      <c r="L93" s="468" t="e">
        <f t="shared" si="3"/>
        <v>#REF!</v>
      </c>
      <c r="M93" s="469"/>
    </row>
    <row r="94" spans="1:17" x14ac:dyDescent="0.3">
      <c r="A94" s="446"/>
      <c r="B94" s="1238" t="s">
        <v>356</v>
      </c>
      <c r="C94" s="1238"/>
      <c r="D94" s="1238"/>
      <c r="E94" s="1238"/>
      <c r="F94" s="473"/>
      <c r="G94" s="468" t="e">
        <f>G88</f>
        <v>#REF!</v>
      </c>
      <c r="H94" s="468" t="e">
        <f>G88</f>
        <v>#REF!</v>
      </c>
      <c r="I94" s="468" t="e">
        <f>I88</f>
        <v>#REF!</v>
      </c>
      <c r="J94" s="468" t="e">
        <f>I88</f>
        <v>#REF!</v>
      </c>
      <c r="K94" s="468" t="e">
        <f>K88</f>
        <v>#REF!</v>
      </c>
      <c r="L94" s="468" t="e">
        <f>K88</f>
        <v>#REF!</v>
      </c>
      <c r="M94" s="469"/>
    </row>
    <row r="95" spans="1:17" x14ac:dyDescent="0.3">
      <c r="A95" s="446"/>
      <c r="B95" s="1238" t="s">
        <v>357</v>
      </c>
      <c r="C95" s="1238"/>
      <c r="D95" s="1238"/>
      <c r="E95" s="1238"/>
      <c r="F95" s="473"/>
      <c r="G95" s="468" t="e">
        <f t="shared" ref="G95:L95" si="4">G87</f>
        <v>#REF!</v>
      </c>
      <c r="H95" s="468" t="e">
        <f t="shared" si="4"/>
        <v>#REF!</v>
      </c>
      <c r="I95" s="468" t="e">
        <f t="shared" si="4"/>
        <v>#REF!</v>
      </c>
      <c r="J95" s="468" t="e">
        <f t="shared" si="4"/>
        <v>#REF!</v>
      </c>
      <c r="K95" s="468" t="e">
        <f t="shared" si="4"/>
        <v>#REF!</v>
      </c>
      <c r="L95" s="468" t="e">
        <f t="shared" si="4"/>
        <v>#REF!</v>
      </c>
      <c r="M95" s="469"/>
    </row>
    <row r="96" spans="1:17" x14ac:dyDescent="0.3">
      <c r="A96" s="446"/>
      <c r="B96" s="1238" t="s">
        <v>358</v>
      </c>
      <c r="C96" s="1238"/>
      <c r="D96" s="1238"/>
      <c r="E96" s="1238"/>
      <c r="F96" s="473"/>
      <c r="G96" s="468" t="e">
        <f>H76-H70</f>
        <v>#REF!</v>
      </c>
      <c r="H96" s="468" t="e">
        <f>H76-H70</f>
        <v>#REF!</v>
      </c>
      <c r="I96" s="468" t="e">
        <f>J76-J70</f>
        <v>#REF!</v>
      </c>
      <c r="J96" s="468" t="e">
        <f>J76-J70</f>
        <v>#REF!</v>
      </c>
      <c r="K96" s="468" t="e">
        <f>L76-L70</f>
        <v>#REF!</v>
      </c>
      <c r="L96" s="468" t="e">
        <f>L76-L70</f>
        <v>#REF!</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t="e">
        <f>IF(G96=0,0,G93+((G94*G95)/G96))</f>
        <v>#REF!</v>
      </c>
      <c r="I98" s="74"/>
      <c r="J98" s="476" t="e">
        <f>IF(I96=0,0,I93+((I94*I95)/I96))</f>
        <v>#REF!</v>
      </c>
      <c r="K98" s="74"/>
      <c r="L98" s="476" t="e">
        <f>IF(K96=0,0,K93+((K94*K95)/K96))</f>
        <v>#REF!</v>
      </c>
      <c r="M98" s="73"/>
    </row>
    <row r="99" spans="1:13" x14ac:dyDescent="0.3">
      <c r="A99" s="446"/>
      <c r="B99" s="394" t="s">
        <v>359</v>
      </c>
      <c r="C99" s="461"/>
      <c r="D99" s="475" t="s">
        <v>339</v>
      </c>
      <c r="E99" s="393"/>
      <c r="F99" s="469"/>
      <c r="G99" s="74"/>
      <c r="H99" s="477" t="e">
        <f>((H102-H98)*0.25)+H98</f>
        <v>#REF!</v>
      </c>
      <c r="I99" s="74"/>
      <c r="J99" s="477" t="e">
        <f>((J102-J98)*0.25)+J98</f>
        <v>#REF!</v>
      </c>
      <c r="K99" s="74"/>
      <c r="L99" s="477" t="e">
        <f>((L102-L98)*0.25)+L98</f>
        <v>#REF!</v>
      </c>
      <c r="M99" s="73"/>
    </row>
    <row r="100" spans="1:13" x14ac:dyDescent="0.3">
      <c r="A100" s="446"/>
      <c r="B100" s="394"/>
      <c r="C100" s="461"/>
      <c r="D100" s="475" t="s">
        <v>340</v>
      </c>
      <c r="E100" s="393"/>
      <c r="F100" s="469"/>
      <c r="G100" s="74"/>
      <c r="H100" s="477" t="e">
        <f>(H102+H98)/2</f>
        <v>#REF!</v>
      </c>
      <c r="I100" s="74"/>
      <c r="J100" s="477" t="e">
        <f>(J102+J98)/2</f>
        <v>#REF!</v>
      </c>
      <c r="K100" s="74"/>
      <c r="L100" s="477" t="e">
        <f>(L102+L98)/2</f>
        <v>#REF!</v>
      </c>
      <c r="M100" s="73"/>
    </row>
    <row r="101" spans="1:13" x14ac:dyDescent="0.3">
      <c r="A101" s="446"/>
      <c r="B101" s="394" t="s">
        <v>360</v>
      </c>
      <c r="C101" s="461"/>
      <c r="D101" s="475" t="s">
        <v>341</v>
      </c>
      <c r="E101" s="393"/>
      <c r="F101" s="469"/>
      <c r="G101" s="74"/>
      <c r="H101" s="477" t="e">
        <f>((H102-H98)*0.75)+H98</f>
        <v>#REF!</v>
      </c>
      <c r="I101" s="74"/>
      <c r="J101" s="477" t="e">
        <f>((J102-J98)*0.75)+J98</f>
        <v>#REF!</v>
      </c>
      <c r="K101" s="74"/>
      <c r="L101" s="477" t="e">
        <f>((L102-L98)*0.75)+L98</f>
        <v>#REF!</v>
      </c>
      <c r="M101" s="73"/>
    </row>
    <row r="102" spans="1:13" ht="15.2" thickBot="1" x14ac:dyDescent="0.35">
      <c r="A102" s="446"/>
      <c r="B102" s="395"/>
      <c r="C102" s="461"/>
      <c r="D102" s="475" t="s">
        <v>342</v>
      </c>
      <c r="E102" s="393"/>
      <c r="F102" s="469"/>
      <c r="G102" s="74"/>
      <c r="H102" s="478" t="e">
        <f>IF(H96=0,0,H93+((H94*H95)/H96))</f>
        <v>#REF!</v>
      </c>
      <c r="I102" s="74"/>
      <c r="J102" s="478" t="e">
        <f>IF(J96=0,0,J93+((J94*J95)/J96))</f>
        <v>#REF!</v>
      </c>
      <c r="K102" s="74"/>
      <c r="L102" s="478" t="e">
        <f>IF(L96=0,0,L93+((L94*L95)/L96))</f>
        <v>#REF!</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t="e">
        <f>G64</f>
        <v>#REF!</v>
      </c>
      <c r="H105" s="480" t="e">
        <f>IF(G65="Basishonorarsatz",H98,IF(G65="Viertelsatz",H99,IF(G65="Mittelsatz",H100,IF(G65="Dreiviertelsatz",H101,H102))))</f>
        <v>#REF!</v>
      </c>
      <c r="I105" s="481" t="e">
        <f>G64</f>
        <v>#REF!</v>
      </c>
      <c r="J105" s="480" t="e">
        <f>IF(G65="Basishonorarsatz",J98,IF(G65="Viertelsatz",J99,IF(G65="Mittelsatz",J100,IF(G65="Dreiviertelsatz",J101,J102))))</f>
        <v>#REF!</v>
      </c>
      <c r="K105" s="481" t="e">
        <f>G64</f>
        <v>#REF!</v>
      </c>
      <c r="L105" s="480" t="e">
        <f>IF(G65="Basishonorarsatz",L98,IF(G65="Viertelsatz",L99,IF(G65="Mittelsatz",L100,IF(G65="Dreiviertelsatz",L101,L102))))</f>
        <v>#REF!</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t="e">
        <f>IF(#REF!="ja",#REF!,0)</f>
        <v>#REF!</v>
      </c>
      <c r="D109" s="1273"/>
      <c r="E109" s="1282" t="e">
        <f>IF(#REF!="ja",#REF!,0)</f>
        <v>#REF!</v>
      </c>
      <c r="F109" s="1273"/>
      <c r="G109" s="490" t="e">
        <f>C109*1.1+E109</f>
        <v>#REF!</v>
      </c>
    </row>
    <row r="110" spans="1:13" x14ac:dyDescent="0.3">
      <c r="B110" s="491">
        <v>2</v>
      </c>
      <c r="C110" s="1158" t="e">
        <f>IF(#REF!="ja",#REF!,0)</f>
        <v>#REF!</v>
      </c>
      <c r="D110" s="1159"/>
      <c r="E110" s="1275" t="e">
        <f>IF(#REF!="ja",#REF!,0)</f>
        <v>#REF!</v>
      </c>
      <c r="F110" s="1159"/>
      <c r="G110" s="490" t="e">
        <f t="shared" ref="G110:G122" si="5">C110*1.1+E110</f>
        <v>#REF!</v>
      </c>
    </row>
    <row r="111" spans="1:13" x14ac:dyDescent="0.3">
      <c r="B111" s="491">
        <v>3</v>
      </c>
      <c r="C111" s="1158" t="e">
        <f>IF(#REF!="ja",#REF!,0)</f>
        <v>#REF!</v>
      </c>
      <c r="D111" s="1159"/>
      <c r="E111" s="1275" t="e">
        <f>IF(#REF!="ja",#REF!,0)</f>
        <v>#REF!</v>
      </c>
      <c r="F111" s="1159"/>
      <c r="G111" s="490" t="e">
        <f t="shared" si="5"/>
        <v>#REF!</v>
      </c>
    </row>
    <row r="112" spans="1:13" x14ac:dyDescent="0.3">
      <c r="B112" s="491">
        <v>4</v>
      </c>
      <c r="C112" s="1158" t="e">
        <f>IF(#REF!="ja",#REF!,0)</f>
        <v>#REF!</v>
      </c>
      <c r="D112" s="1159"/>
      <c r="E112" s="1275" t="e">
        <f>IF(#REF!="ja",#REF!,0)</f>
        <v>#REF!</v>
      </c>
      <c r="F112" s="1159"/>
      <c r="G112" s="490" t="e">
        <f t="shared" si="5"/>
        <v>#REF!</v>
      </c>
    </row>
    <row r="113" spans="2:7" x14ac:dyDescent="0.3">
      <c r="B113" s="491" t="s">
        <v>371</v>
      </c>
      <c r="C113" s="1158" t="e">
        <f>IF(#REF!="ja",#REF!,0)</f>
        <v>#REF!</v>
      </c>
      <c r="D113" s="1159"/>
      <c r="E113" s="1275" t="e">
        <f>IF(#REF!="ja",#REF!+#REF!,0)</f>
        <v>#REF!</v>
      </c>
      <c r="F113" s="1159"/>
      <c r="G113" s="490" t="e">
        <f t="shared" si="5"/>
        <v>#REF!</v>
      </c>
    </row>
    <row r="114" spans="2:7" x14ac:dyDescent="0.3">
      <c r="B114" s="491" t="s">
        <v>372</v>
      </c>
      <c r="C114" s="1158" t="e">
        <f>IF(#REF!="ja",#REF!,0)</f>
        <v>#REF!</v>
      </c>
      <c r="D114" s="1159"/>
      <c r="E114" s="1275" t="e">
        <f>IF(#REF!="ja",#REF!+#REF!+#REF!+#REF!,0)</f>
        <v>#REF!</v>
      </c>
      <c r="F114" s="1159"/>
      <c r="G114" s="490" t="e">
        <f t="shared" si="5"/>
        <v>#REF!</v>
      </c>
    </row>
    <row r="115" spans="2:7" x14ac:dyDescent="0.3">
      <c r="B115" s="491" t="s">
        <v>373</v>
      </c>
      <c r="C115" s="1158" t="e">
        <f>IF(#REF!="ja",#REF!,0)</f>
        <v>#REF!</v>
      </c>
      <c r="D115" s="1159"/>
      <c r="E115" s="1275" t="e">
        <f>IF(#REF!="ja",#REF!,0)</f>
        <v>#REF!</v>
      </c>
      <c r="F115" s="1159"/>
      <c r="G115" s="490" t="e">
        <f t="shared" si="5"/>
        <v>#REF!</v>
      </c>
    </row>
    <row r="116" spans="2:7" x14ac:dyDescent="0.3">
      <c r="B116" s="491" t="s">
        <v>374</v>
      </c>
      <c r="C116" s="1158" t="e">
        <f>IF(#REF!="ja",#REF!,0)</f>
        <v>#REF!</v>
      </c>
      <c r="D116" s="1159"/>
      <c r="E116" s="1275" t="e">
        <f>IF(#REF!="ja",#REF!,0)</f>
        <v>#REF!</v>
      </c>
      <c r="F116" s="1159"/>
      <c r="G116" s="490" t="e">
        <f t="shared" si="5"/>
        <v>#REF!</v>
      </c>
    </row>
    <row r="117" spans="2:7" x14ac:dyDescent="0.3">
      <c r="B117" s="491" t="s">
        <v>375</v>
      </c>
      <c r="C117" s="1158" t="e">
        <f>IF(#REF!="ja",#REF!,0)</f>
        <v>#REF!</v>
      </c>
      <c r="D117" s="1159"/>
      <c r="E117" s="1275" t="e">
        <f>IF(#REF!="ja",#REF!+#REF!,0)</f>
        <v>#REF!</v>
      </c>
      <c r="F117" s="1159"/>
      <c r="G117" s="490" t="e">
        <f t="shared" si="5"/>
        <v>#REF!</v>
      </c>
    </row>
    <row r="118" spans="2:7" x14ac:dyDescent="0.3">
      <c r="B118" s="491" t="s">
        <v>376</v>
      </c>
      <c r="C118" s="1158" t="e">
        <f>IF(#REF!="ja",#REF!,0)</f>
        <v>#REF!</v>
      </c>
      <c r="D118" s="1159"/>
      <c r="E118" s="1275" t="e">
        <f>IF(#REF!="ja",#REF!,0)</f>
        <v>#REF!</v>
      </c>
      <c r="F118" s="1159"/>
      <c r="G118" s="490" t="e">
        <f t="shared" si="5"/>
        <v>#REF!</v>
      </c>
    </row>
    <row r="119" spans="2:7" x14ac:dyDescent="0.3">
      <c r="B119" s="492">
        <v>6</v>
      </c>
      <c r="C119" s="1158" t="e">
        <f>IF(#REF!="ja",#REF!,0)</f>
        <v>#REF!</v>
      </c>
      <c r="D119" s="1159"/>
      <c r="E119" s="1275" t="e">
        <f>IF(#REF!="ja",#REF!,0)</f>
        <v>#REF!</v>
      </c>
      <c r="F119" s="1159"/>
      <c r="G119" s="490" t="e">
        <f t="shared" si="5"/>
        <v>#REF!</v>
      </c>
    </row>
    <row r="120" spans="2:7" x14ac:dyDescent="0.3">
      <c r="B120" s="492">
        <v>7</v>
      </c>
      <c r="C120" s="1158" t="e">
        <f>IF(#REF!="ja",#REF!,0)</f>
        <v>#REF!</v>
      </c>
      <c r="D120" s="1159"/>
      <c r="E120" s="1275" t="e">
        <f>IF(#REF!="ja",#REF!,0)</f>
        <v>#REF!</v>
      </c>
      <c r="F120" s="1159"/>
      <c r="G120" s="490" t="e">
        <f t="shared" si="5"/>
        <v>#REF!</v>
      </c>
    </row>
    <row r="121" spans="2:7" x14ac:dyDescent="0.3">
      <c r="B121" s="492">
        <v>8</v>
      </c>
      <c r="C121" s="1158" t="e">
        <f>IF(#REF!="ja",#REF!,0)</f>
        <v>#REF!</v>
      </c>
      <c r="D121" s="1159"/>
      <c r="E121" s="1275" t="e">
        <f>IF(#REF!="ja",#REF!,0)</f>
        <v>#REF!</v>
      </c>
      <c r="F121" s="1159"/>
      <c r="G121" s="490" t="e">
        <f t="shared" si="5"/>
        <v>#REF!</v>
      </c>
    </row>
    <row r="122" spans="2:7" ht="15.2" thickBot="1" x14ac:dyDescent="0.35">
      <c r="B122" s="493">
        <v>9</v>
      </c>
      <c r="C122" s="1278" t="e">
        <f>IF(#REF!="ja",#REF!,0)</f>
        <v>#REF!</v>
      </c>
      <c r="D122" s="1279"/>
      <c r="E122" s="1280" t="e">
        <f>IF(#REF!="ja",#REF!,0)</f>
        <v>#REF!</v>
      </c>
      <c r="F122" s="1279"/>
      <c r="G122" s="490" t="e">
        <f t="shared" si="5"/>
        <v>#REF!</v>
      </c>
    </row>
    <row r="123" spans="2:7" ht="15.2" thickBot="1" x14ac:dyDescent="0.35">
      <c r="B123" s="494" t="s">
        <v>476</v>
      </c>
      <c r="C123" s="1216" t="e">
        <f>SUM(C109:D122)</f>
        <v>#REF!</v>
      </c>
      <c r="D123" s="1217"/>
      <c r="E123" s="1220" t="e">
        <f>SUM(E109:F122)</f>
        <v>#REF!</v>
      </c>
      <c r="F123" s="1221"/>
    </row>
    <row r="124" spans="2:7" ht="15.2" thickBot="1" x14ac:dyDescent="0.35"/>
    <row r="125" spans="2:7" ht="15.2" thickBot="1" x14ac:dyDescent="0.35">
      <c r="B125" s="495" t="s">
        <v>380</v>
      </c>
      <c r="C125" s="1250" t="e">
        <f>C123*#REF!+C123</f>
        <v>#REF!</v>
      </c>
      <c r="D125" s="1251"/>
      <c r="E125" s="1250" t="e">
        <f>#REF!</f>
        <v>#REF!</v>
      </c>
      <c r="F125" s="1251"/>
    </row>
    <row r="128" spans="2:7" x14ac:dyDescent="0.3">
      <c r="B128" s="384" t="s">
        <v>479</v>
      </c>
      <c r="D128" s="496">
        <f>Überblick!G97</f>
        <v>0.19</v>
      </c>
    </row>
    <row r="130" spans="2:17" ht="15.2" thickBot="1" x14ac:dyDescent="0.35">
      <c r="B130" s="495" t="s">
        <v>478</v>
      </c>
      <c r="C130" s="1250" t="e">
        <f>C125*D128+C125</f>
        <v>#REF!</v>
      </c>
      <c r="D130" s="1251"/>
      <c r="E130" s="1250" t="e">
        <f>E125*D128+E125</f>
        <v>#REF!</v>
      </c>
      <c r="F130" s="1251"/>
    </row>
    <row r="132" spans="2:17" x14ac:dyDescent="0.3">
      <c r="B132" s="384" t="s">
        <v>480</v>
      </c>
      <c r="E132" s="1248" t="e">
        <f>C130+E130</f>
        <v>#REF!</v>
      </c>
      <c r="F132" s="1249"/>
    </row>
    <row r="133" spans="2:17" ht="15.2" thickBot="1" x14ac:dyDescent="0.35"/>
    <row r="134" spans="2:17" ht="15.2" thickBot="1" x14ac:dyDescent="0.35">
      <c r="B134" s="544" t="s">
        <v>115</v>
      </c>
      <c r="C134" s="567" t="s">
        <v>306</v>
      </c>
      <c r="D134" s="568" t="s">
        <v>307</v>
      </c>
      <c r="E134" s="568" t="s">
        <v>308</v>
      </c>
      <c r="F134" s="568" t="s">
        <v>309</v>
      </c>
      <c r="G134" s="568" t="s">
        <v>310</v>
      </c>
      <c r="H134" s="568" t="s">
        <v>311</v>
      </c>
      <c r="I134" s="568" t="s">
        <v>312</v>
      </c>
      <c r="J134" s="568" t="s">
        <v>313</v>
      </c>
      <c r="K134" s="568" t="s">
        <v>314</v>
      </c>
      <c r="L134" s="568" t="s">
        <v>315</v>
      </c>
      <c r="M134" s="568" t="s">
        <v>316</v>
      </c>
      <c r="N134" s="568" t="s">
        <v>317</v>
      </c>
      <c r="O134" s="568" t="s">
        <v>318</v>
      </c>
      <c r="P134" s="568" t="s">
        <v>379</v>
      </c>
      <c r="Q134" s="569" t="s">
        <v>380</v>
      </c>
    </row>
    <row r="135" spans="2:17" x14ac:dyDescent="0.3">
      <c r="B135" s="579">
        <f>IF(Überblick!$H$53&gt;=1,1,"")</f>
        <v>1</v>
      </c>
      <c r="C135" s="503" t="e">
        <f>IF($B135=#REF!,#REF!*#REF!+#REF!+#REF!,0)</f>
        <v>#REF!</v>
      </c>
      <c r="D135" s="503" t="e">
        <f>IF($B135=#REF!,#REF!*#REF!+#REF!+#REF!,0)</f>
        <v>#REF!</v>
      </c>
      <c r="E135" s="503" t="e">
        <f>IF($B135=#REF!,#REF!*#REF!+#REF!+#REF!,0)</f>
        <v>#REF!</v>
      </c>
      <c r="F135" s="503" t="e">
        <f>IF($B135=#REF!,#REF!*#REF!+#REF!+#REF!,0)</f>
        <v>#REF!</v>
      </c>
      <c r="G135" s="503" t="e">
        <f>IF($B135=#REF!,#REF!*#REF!+#REF!+#REF!+#REF!,0)</f>
        <v>#REF!</v>
      </c>
      <c r="H135" s="503" t="e">
        <f>IF($B135=#REF!,#REF!*#REF!+#REF!+#REF!+#REF!+#REF!+#REF!,0)</f>
        <v>#REF!</v>
      </c>
      <c r="I135" s="503" t="e">
        <f>IF($B135=#REF!,#REF!*#REF!+#REF!+#REF!,0)</f>
        <v>#REF!</v>
      </c>
      <c r="J135" s="503" t="e">
        <f>IF($B135=#REF!,#REF!*#REF!+#REF!+#REF!,0)</f>
        <v>#REF!</v>
      </c>
      <c r="K135" s="503" t="e">
        <f>IF($B135=#REF!,#REF!*#REF!+#REF!+#REF!+#REF!,0)</f>
        <v>#REF!</v>
      </c>
      <c r="L135" s="503" t="e">
        <f>IF($B135=#REF!,#REF!*#REF!+#REF!+#REF!,0)</f>
        <v>#REF!</v>
      </c>
      <c r="M135" s="503" t="e">
        <f>IF($B135=#REF!,#REF!*#REF!+#REF!+#REF!,0)</f>
        <v>#REF!</v>
      </c>
      <c r="N135" s="503" t="e">
        <f>IF($B135=#REF!,#REF!*#REF!+#REF!+#REF!,0)</f>
        <v>#REF!</v>
      </c>
      <c r="O135" s="503" t="e">
        <f>IF($B135=#REF!,#REF!*#REF!+#REF!+#REF!,0)</f>
        <v>#REF!</v>
      </c>
      <c r="P135" s="503" t="e">
        <f>IF($B135=#REF!,#REF!*#REF!+#REF!+#REF!,0)</f>
        <v>#REF!</v>
      </c>
      <c r="Q135" s="504" t="e">
        <f>SUM(C135:P135)</f>
        <v>#REF!</v>
      </c>
    </row>
    <row r="136" spans="2:17" x14ac:dyDescent="0.3">
      <c r="B136" s="577">
        <f>IF(Überblick!$H$53&gt;=2,2,"")</f>
        <v>2</v>
      </c>
      <c r="C136" s="507" t="e">
        <f>IF($B136=#REF!,#REF!*#REF!+#REF!+#REF!,0)</f>
        <v>#REF!</v>
      </c>
      <c r="D136" s="507" t="e">
        <f>IF($B136=#REF!,#REF!*#REF!+#REF!+#REF!,0)</f>
        <v>#REF!</v>
      </c>
      <c r="E136" s="507" t="e">
        <f>IF($B136=#REF!,#REF!*#REF!+#REF!+#REF!,0)</f>
        <v>#REF!</v>
      </c>
      <c r="F136" s="507" t="e">
        <f>IF($B136=#REF!,#REF!*#REF!+#REF!+#REF!,0)</f>
        <v>#REF!</v>
      </c>
      <c r="G136" s="507" t="e">
        <f>IF($B136=#REF!,#REF!*#REF!+#REF!+#REF!+#REF!,0)</f>
        <v>#REF!</v>
      </c>
      <c r="H136" s="507" t="e">
        <f>IF($B136=#REF!,#REF!*#REF!+#REF!+#REF!+#REF!+#REF!+#REF!,0)</f>
        <v>#REF!</v>
      </c>
      <c r="I136" s="507" t="e">
        <f>IF($B136=#REF!,#REF!*#REF!+#REF!+#REF!,0)</f>
        <v>#REF!</v>
      </c>
      <c r="J136" s="507" t="e">
        <f>IF($B136=#REF!,#REF!*#REF!+#REF!+#REF!,0)</f>
        <v>#REF!</v>
      </c>
      <c r="K136" s="507" t="e">
        <f>IF($B136=#REF!,#REF!*#REF!+#REF!+#REF!+#REF!,0)</f>
        <v>#REF!</v>
      </c>
      <c r="L136" s="507" t="e">
        <f>IF($B136=#REF!,#REF!*#REF!+#REF!+#REF!,0)</f>
        <v>#REF!</v>
      </c>
      <c r="M136" s="507" t="e">
        <f>IF($B136=#REF!,#REF!*#REF!+#REF!+#REF!,0)</f>
        <v>#REF!</v>
      </c>
      <c r="N136" s="507" t="e">
        <f>IF($B136=#REF!,#REF!*#REF!+#REF!+#REF!,0)</f>
        <v>#REF!</v>
      </c>
      <c r="O136" s="507" t="e">
        <f>IF($B136=#REF!,#REF!*#REF!+#REF!+#REF!,0)</f>
        <v>#REF!</v>
      </c>
      <c r="P136" s="507" t="e">
        <f>IF($B136=#REF!,#REF!*#REF!+#REF!+#REF!,0)</f>
        <v>#REF!</v>
      </c>
      <c r="Q136" s="508" t="e">
        <f t="shared" ref="Q136:Q143" si="6">SUM(C136:P136)</f>
        <v>#REF!</v>
      </c>
    </row>
    <row r="137" spans="2:17" x14ac:dyDescent="0.3">
      <c r="B137" s="577">
        <f>IF(Überblick!$H$53&gt;=3,3,"")</f>
        <v>3</v>
      </c>
      <c r="C137" s="507" t="e">
        <f>IF($B137=#REF!,#REF!*#REF!+#REF!+#REF!,0)</f>
        <v>#REF!</v>
      </c>
      <c r="D137" s="507" t="e">
        <f>IF($B137=#REF!,#REF!*#REF!+#REF!+#REF!,0)</f>
        <v>#REF!</v>
      </c>
      <c r="E137" s="507" t="e">
        <f>IF($B137=#REF!,#REF!*#REF!+#REF!+#REF!,0)</f>
        <v>#REF!</v>
      </c>
      <c r="F137" s="507" t="e">
        <f>IF($B137=#REF!,#REF!*#REF!+#REF!+#REF!,0)</f>
        <v>#REF!</v>
      </c>
      <c r="G137" s="507" t="e">
        <f>IF($B137=#REF!,#REF!*#REF!+#REF!+#REF!+#REF!,0)</f>
        <v>#REF!</v>
      </c>
      <c r="H137" s="507" t="e">
        <f>IF($B137=#REF!,#REF!*#REF!+#REF!+#REF!+#REF!+#REF!+#REF!,0)</f>
        <v>#REF!</v>
      </c>
      <c r="I137" s="507" t="e">
        <f>IF($B137=#REF!,#REF!*#REF!+#REF!+#REF!,0)</f>
        <v>#REF!</v>
      </c>
      <c r="J137" s="507" t="e">
        <f>IF($B137=#REF!,#REF!*#REF!+#REF!+#REF!,0)</f>
        <v>#REF!</v>
      </c>
      <c r="K137" s="507" t="e">
        <f>IF($B137=#REF!,#REF!*#REF!+#REF!+#REF!+#REF!,0)</f>
        <v>#REF!</v>
      </c>
      <c r="L137" s="507" t="e">
        <f>IF($B137=#REF!,#REF!*#REF!+#REF!+#REF!,0)</f>
        <v>#REF!</v>
      </c>
      <c r="M137" s="507" t="e">
        <f>IF($B137=#REF!,#REF!*#REF!+#REF!+#REF!,0)</f>
        <v>#REF!</v>
      </c>
      <c r="N137" s="507" t="e">
        <f>IF($B137=#REF!,#REF!*#REF!+#REF!+#REF!,0)</f>
        <v>#REF!</v>
      </c>
      <c r="O137" s="507" t="e">
        <f>IF($B137=#REF!,#REF!*#REF!+#REF!+#REF!,0)</f>
        <v>#REF!</v>
      </c>
      <c r="P137" s="507" t="e">
        <f>IF($B137=#REF!,#REF!*#REF!+#REF!+#REF!,0)</f>
        <v>#REF!</v>
      </c>
      <c r="Q137" s="508" t="e">
        <f t="shared" si="6"/>
        <v>#REF!</v>
      </c>
    </row>
    <row r="138" spans="2:17" x14ac:dyDescent="0.3">
      <c r="B138" s="577" t="str">
        <f>IF(Überblick!$H$53&gt;=4,4,"")</f>
        <v/>
      </c>
      <c r="C138" s="507" t="e">
        <f>IF($B138=#REF!,#REF!*#REF!+#REF!+#REF!,0)</f>
        <v>#REF!</v>
      </c>
      <c r="D138" s="507" t="e">
        <f>IF($B138=#REF!,#REF!*#REF!+#REF!+#REF!,0)</f>
        <v>#REF!</v>
      </c>
      <c r="E138" s="507" t="e">
        <f>IF($B138=#REF!,#REF!*#REF!+#REF!+#REF!,0)</f>
        <v>#REF!</v>
      </c>
      <c r="F138" s="507" t="e">
        <f>IF($B138=#REF!,#REF!*#REF!+#REF!+#REF!,0)</f>
        <v>#REF!</v>
      </c>
      <c r="G138" s="507" t="e">
        <f>IF($B138=#REF!,#REF!*#REF!+#REF!+#REF!+#REF!,0)</f>
        <v>#REF!</v>
      </c>
      <c r="H138" s="507" t="e">
        <f>IF($B138=#REF!,#REF!*#REF!+#REF!+#REF!+#REF!+#REF!+#REF!,0)</f>
        <v>#REF!</v>
      </c>
      <c r="I138" s="507" t="e">
        <f>IF($B138=#REF!,#REF!*#REF!+#REF!+#REF!,0)</f>
        <v>#REF!</v>
      </c>
      <c r="J138" s="507" t="e">
        <f>IF($B138=#REF!,#REF!*#REF!+#REF!+#REF!,0)</f>
        <v>#REF!</v>
      </c>
      <c r="K138" s="507" t="e">
        <f>IF($B138=#REF!,#REF!*#REF!+#REF!+#REF!+#REF!,0)</f>
        <v>#REF!</v>
      </c>
      <c r="L138" s="507" t="e">
        <f>IF($B138=#REF!,#REF!*#REF!+#REF!+#REF!,0)</f>
        <v>#REF!</v>
      </c>
      <c r="M138" s="507" t="e">
        <f>IF($B138=#REF!,#REF!*#REF!+#REF!+#REF!,0)</f>
        <v>#REF!</v>
      </c>
      <c r="N138" s="507" t="e">
        <f>IF($B138=#REF!,#REF!*#REF!+#REF!+#REF!,0)</f>
        <v>#REF!</v>
      </c>
      <c r="O138" s="507" t="e">
        <f>IF($B138=#REF!,#REF!*#REF!+#REF!+#REF!,0)</f>
        <v>#REF!</v>
      </c>
      <c r="P138" s="507" t="e">
        <f>IF($B138=#REF!,#REF!*#REF!+#REF!+#REF!,0)</f>
        <v>#REF!</v>
      </c>
      <c r="Q138" s="508" t="e">
        <f t="shared" si="6"/>
        <v>#REF!</v>
      </c>
    </row>
    <row r="139" spans="2:17" x14ac:dyDescent="0.3">
      <c r="B139" s="577" t="str">
        <f>IF(Überblick!$H$53&gt;=5,5,"")</f>
        <v/>
      </c>
      <c r="C139" s="507" t="e">
        <f>IF($B139=#REF!,#REF!*#REF!+#REF!+#REF!,0)</f>
        <v>#REF!</v>
      </c>
      <c r="D139" s="507" t="e">
        <f>IF($B139=#REF!,#REF!*#REF!+#REF!+#REF!,0)</f>
        <v>#REF!</v>
      </c>
      <c r="E139" s="507" t="e">
        <f>IF($B139=#REF!,#REF!*#REF!+#REF!+#REF!,0)</f>
        <v>#REF!</v>
      </c>
      <c r="F139" s="507" t="e">
        <f>IF($B139=#REF!,#REF!*#REF!+#REF!+#REF!,0)</f>
        <v>#REF!</v>
      </c>
      <c r="G139" s="507" t="e">
        <f>IF($B139=#REF!,#REF!*#REF!+#REF!+#REF!+#REF!,0)</f>
        <v>#REF!</v>
      </c>
      <c r="H139" s="507" t="e">
        <f>IF($B139=#REF!,#REF!*#REF!+#REF!+#REF!+#REF!+#REF!+#REF!,0)</f>
        <v>#REF!</v>
      </c>
      <c r="I139" s="507" t="e">
        <f>IF($B139=#REF!,#REF!*#REF!+#REF!+#REF!,0)</f>
        <v>#REF!</v>
      </c>
      <c r="J139" s="507" t="e">
        <f>IF($B139=#REF!,#REF!*#REF!+#REF!+#REF!,0)</f>
        <v>#REF!</v>
      </c>
      <c r="K139" s="507" t="e">
        <f>IF($B139=#REF!,#REF!*#REF!+#REF!+#REF!+#REF!,0)</f>
        <v>#REF!</v>
      </c>
      <c r="L139" s="507" t="e">
        <f>IF($B139=#REF!,#REF!*#REF!+#REF!+#REF!,0)</f>
        <v>#REF!</v>
      </c>
      <c r="M139" s="507" t="e">
        <f>IF($B139=#REF!,#REF!*#REF!+#REF!+#REF!,0)</f>
        <v>#REF!</v>
      </c>
      <c r="N139" s="507" t="e">
        <f>IF($B139=#REF!,#REF!*#REF!+#REF!+#REF!,0)</f>
        <v>#REF!</v>
      </c>
      <c r="O139" s="507" t="e">
        <f>IF($B139=#REF!,#REF!*#REF!+#REF!+#REF!,0)</f>
        <v>#REF!</v>
      </c>
      <c r="P139" s="507" t="e">
        <f>IF($B139=#REF!,#REF!*#REF!+#REF!+#REF!,0)</f>
        <v>#REF!</v>
      </c>
      <c r="Q139" s="508" t="e">
        <f t="shared" si="6"/>
        <v>#REF!</v>
      </c>
    </row>
    <row r="140" spans="2:17" x14ac:dyDescent="0.3">
      <c r="B140" s="577" t="str">
        <f>IF(Überblick!$H$53&gt;=6,6,"")</f>
        <v/>
      </c>
      <c r="C140" s="507" t="e">
        <f>IF($B140=#REF!,#REF!*#REF!+#REF!+#REF!,0)</f>
        <v>#REF!</v>
      </c>
      <c r="D140" s="507" t="e">
        <f>IF($B140=#REF!,#REF!*#REF!+#REF!+#REF!,0)</f>
        <v>#REF!</v>
      </c>
      <c r="E140" s="507" t="e">
        <f>IF($B140=#REF!,#REF!*#REF!+#REF!+#REF!,0)</f>
        <v>#REF!</v>
      </c>
      <c r="F140" s="507" t="e">
        <f>IF($B140=#REF!,#REF!*#REF!+#REF!+#REF!,0)</f>
        <v>#REF!</v>
      </c>
      <c r="G140" s="507" t="e">
        <f>IF($B140=#REF!,#REF!*#REF!+#REF!+#REF!+#REF!,0)</f>
        <v>#REF!</v>
      </c>
      <c r="H140" s="507" t="e">
        <f>IF($B140=#REF!,#REF!*#REF!+#REF!+#REF!+#REF!+#REF!+#REF!,0)</f>
        <v>#REF!</v>
      </c>
      <c r="I140" s="507" t="e">
        <f>IF($B140=#REF!,#REF!*#REF!+#REF!+#REF!,0)</f>
        <v>#REF!</v>
      </c>
      <c r="J140" s="507" t="e">
        <f>IF($B140=#REF!,#REF!*#REF!+#REF!+#REF!,0)</f>
        <v>#REF!</v>
      </c>
      <c r="K140" s="507" t="e">
        <f>IF($B140=#REF!,#REF!*#REF!+#REF!+#REF!+#REF!,0)</f>
        <v>#REF!</v>
      </c>
      <c r="L140" s="507" t="e">
        <f>IF($B140=#REF!,#REF!*#REF!+#REF!+#REF!,0)</f>
        <v>#REF!</v>
      </c>
      <c r="M140" s="507" t="e">
        <f>IF($B140=#REF!,#REF!*#REF!+#REF!+#REF!,0)</f>
        <v>#REF!</v>
      </c>
      <c r="N140" s="507" t="e">
        <f>IF($B140=#REF!,#REF!*#REF!+#REF!+#REF!,0)</f>
        <v>#REF!</v>
      </c>
      <c r="O140" s="507" t="e">
        <f>IF($B140=#REF!,#REF!*#REF!+#REF!+#REF!,0)</f>
        <v>#REF!</v>
      </c>
      <c r="P140" s="507" t="e">
        <f>IF($B140=#REF!,#REF!*#REF!+#REF!+#REF!,0)</f>
        <v>#REF!</v>
      </c>
      <c r="Q140" s="508" t="e">
        <f t="shared" si="6"/>
        <v>#REF!</v>
      </c>
    </row>
    <row r="141" spans="2:17" x14ac:dyDescent="0.3">
      <c r="B141" s="577" t="str">
        <f>IF(Überblick!$H$53&gt;=7,7,"")</f>
        <v/>
      </c>
      <c r="C141" s="507" t="e">
        <f>IF($B141=#REF!,#REF!*#REF!+#REF!+#REF!,0)</f>
        <v>#REF!</v>
      </c>
      <c r="D141" s="507" t="e">
        <f>IF($B141=#REF!,#REF!*#REF!+#REF!+#REF!,0)</f>
        <v>#REF!</v>
      </c>
      <c r="E141" s="507" t="e">
        <f>IF($B141=#REF!,#REF!*#REF!+#REF!+#REF!,0)</f>
        <v>#REF!</v>
      </c>
      <c r="F141" s="507" t="e">
        <f>IF($B141=#REF!,#REF!*#REF!+#REF!+#REF!,0)</f>
        <v>#REF!</v>
      </c>
      <c r="G141" s="507" t="e">
        <f>IF($B141=#REF!,#REF!*#REF!+#REF!+#REF!+#REF!,0)</f>
        <v>#REF!</v>
      </c>
      <c r="H141" s="507" t="e">
        <f>IF($B141=#REF!,#REF!*#REF!+#REF!+#REF!+#REF!+#REF!+#REF!,0)</f>
        <v>#REF!</v>
      </c>
      <c r="I141" s="507" t="e">
        <f>IF($B141=#REF!,#REF!*#REF!+#REF!+#REF!,0)</f>
        <v>#REF!</v>
      </c>
      <c r="J141" s="507" t="e">
        <f>IF($B141=#REF!,#REF!*#REF!+#REF!+#REF!,0)</f>
        <v>#REF!</v>
      </c>
      <c r="K141" s="507" t="e">
        <f>IF($B141=#REF!,#REF!*#REF!+#REF!+#REF!+#REF!,0)</f>
        <v>#REF!</v>
      </c>
      <c r="L141" s="507" t="e">
        <f>IF($B141=#REF!,#REF!*#REF!+#REF!+#REF!,0)</f>
        <v>#REF!</v>
      </c>
      <c r="M141" s="507" t="e">
        <f>IF($B141=#REF!,#REF!*#REF!+#REF!+#REF!,0)</f>
        <v>#REF!</v>
      </c>
      <c r="N141" s="507" t="e">
        <f>IF($B141=#REF!,#REF!*#REF!+#REF!+#REF!,0)</f>
        <v>#REF!</v>
      </c>
      <c r="O141" s="507" t="e">
        <f>IF($B141=#REF!,#REF!*#REF!+#REF!+#REF!,0)</f>
        <v>#REF!</v>
      </c>
      <c r="P141" s="507" t="e">
        <f>IF($B141=#REF!,#REF!*#REF!+#REF!+#REF!,0)</f>
        <v>#REF!</v>
      </c>
      <c r="Q141" s="508" t="e">
        <f t="shared" si="6"/>
        <v>#REF!</v>
      </c>
    </row>
    <row r="142" spans="2:17" x14ac:dyDescent="0.3">
      <c r="B142" s="577" t="str">
        <f>IF(Überblick!$H$53&gt;=8,8,"")</f>
        <v/>
      </c>
      <c r="C142" s="507" t="e">
        <f>IF($B142=#REF!,#REF!*#REF!+#REF!+#REF!,0)</f>
        <v>#REF!</v>
      </c>
      <c r="D142" s="507" t="e">
        <f>IF($B142=#REF!,#REF!*#REF!+#REF!+#REF!,0)</f>
        <v>#REF!</v>
      </c>
      <c r="E142" s="507" t="e">
        <f>IF($B142=#REF!,#REF!*#REF!+#REF!+#REF!,0)</f>
        <v>#REF!</v>
      </c>
      <c r="F142" s="507" t="e">
        <f>IF($B142=#REF!,#REF!*#REF!+#REF!+#REF!,0)</f>
        <v>#REF!</v>
      </c>
      <c r="G142" s="507" t="e">
        <f>IF($B142=#REF!,#REF!*#REF!+#REF!+#REF!+#REF!,0)</f>
        <v>#REF!</v>
      </c>
      <c r="H142" s="507" t="e">
        <f>IF($B142=#REF!,#REF!*#REF!+#REF!+#REF!+#REF!+#REF!+#REF!,0)</f>
        <v>#REF!</v>
      </c>
      <c r="I142" s="507" t="e">
        <f>IF($B142=#REF!,#REF!*#REF!+#REF!+#REF!,0)</f>
        <v>#REF!</v>
      </c>
      <c r="J142" s="507" t="e">
        <f>IF($B142=#REF!,#REF!*#REF!+#REF!+#REF!,0)</f>
        <v>#REF!</v>
      </c>
      <c r="K142" s="507" t="e">
        <f>IF($B142=#REF!,#REF!*#REF!+#REF!+#REF!+#REF!,0)</f>
        <v>#REF!</v>
      </c>
      <c r="L142" s="507" t="e">
        <f>IF($B142=#REF!,#REF!*#REF!+#REF!+#REF!,0)</f>
        <v>#REF!</v>
      </c>
      <c r="M142" s="507" t="e">
        <f>IF($B142=#REF!,#REF!*#REF!+#REF!+#REF!,0)</f>
        <v>#REF!</v>
      </c>
      <c r="N142" s="507" t="e">
        <f>IF($B142=#REF!,#REF!*#REF!+#REF!+#REF!,0)</f>
        <v>#REF!</v>
      </c>
      <c r="O142" s="507" t="e">
        <f>IF($B142=#REF!,#REF!*#REF!+#REF!+#REF!,0)</f>
        <v>#REF!</v>
      </c>
      <c r="P142" s="507" t="e">
        <f>IF($B142=#REF!,#REF!*#REF!+#REF!+#REF!,0)</f>
        <v>#REF!</v>
      </c>
      <c r="Q142" s="508" t="e">
        <f t="shared" si="6"/>
        <v>#REF!</v>
      </c>
    </row>
    <row r="143" spans="2:17" ht="15.2" thickBot="1" x14ac:dyDescent="0.35">
      <c r="B143" s="573" t="str">
        <f>IF(Überblick!$H$53&gt;=9,9,"")</f>
        <v/>
      </c>
      <c r="C143" s="511" t="e">
        <f>IF($B143=#REF!,#REF!*#REF!+#REF!+#REF!,0)</f>
        <v>#REF!</v>
      </c>
      <c r="D143" s="511" t="e">
        <f>IF($B143=#REF!,#REF!*#REF!+#REF!+#REF!,0)</f>
        <v>#REF!</v>
      </c>
      <c r="E143" s="511" t="e">
        <f>IF($B143=#REF!,#REF!*#REF!+#REF!+#REF!,0)</f>
        <v>#REF!</v>
      </c>
      <c r="F143" s="511" t="e">
        <f>IF($B143=#REF!,#REF!*#REF!+#REF!+#REF!,0)</f>
        <v>#REF!</v>
      </c>
      <c r="G143" s="511" t="e">
        <f>IF($B143=#REF!,#REF!*#REF!+#REF!+#REF!+#REF!,0)</f>
        <v>#REF!</v>
      </c>
      <c r="H143" s="511" t="e">
        <f>IF($B143=#REF!,#REF!*#REF!+#REF!+#REF!+#REF!+#REF!+#REF!,0)</f>
        <v>#REF!</v>
      </c>
      <c r="I143" s="511" t="e">
        <f>IF($B143=#REF!,#REF!*#REF!+#REF!+#REF!,0)</f>
        <v>#REF!</v>
      </c>
      <c r="J143" s="511" t="e">
        <f>IF($B143=#REF!,#REF!*#REF!+#REF!+#REF!,0)</f>
        <v>#REF!</v>
      </c>
      <c r="K143" s="511" t="e">
        <f>IF($B143=#REF!,#REF!*#REF!+#REF!+#REF!+#REF!,0)</f>
        <v>#REF!</v>
      </c>
      <c r="L143" s="511" t="e">
        <f>IF($B143=#REF!,#REF!*#REF!+#REF!+#REF!,0)</f>
        <v>#REF!</v>
      </c>
      <c r="M143" s="511" t="e">
        <f>IF($B143=#REF!,#REF!*#REF!+#REF!+#REF!,0)</f>
        <v>#REF!</v>
      </c>
      <c r="N143" s="511" t="e">
        <f>IF($B143=#REF!,#REF!*#REF!+#REF!+#REF!,0)</f>
        <v>#REF!</v>
      </c>
      <c r="O143" s="511" t="e">
        <f>IF($B143=#REF!,#REF!*#REF!+#REF!+#REF!,0)</f>
        <v>#REF!</v>
      </c>
      <c r="P143" s="511" t="e">
        <f>IF($B143=#REF!,#REF!*#REF!+#REF!+#REF!,0)</f>
        <v>#REF!</v>
      </c>
      <c r="Q143" s="512" t="e">
        <f t="shared" si="6"/>
        <v>#REF!</v>
      </c>
    </row>
    <row r="144" spans="2:17" x14ac:dyDescent="0.3">
      <c r="Q144" s="513" t="e">
        <f>SUM(Q135:Q143)</f>
        <v>#REF!</v>
      </c>
    </row>
    <row r="156" spans="2:4" x14ac:dyDescent="0.3">
      <c r="B156" s="514"/>
      <c r="C156" s="515"/>
      <c r="D156" s="516"/>
    </row>
  </sheetData>
  <mergeCells count="84">
    <mergeCell ref="E132:F132"/>
    <mergeCell ref="C123:D123"/>
    <mergeCell ref="E123:F123"/>
    <mergeCell ref="C125:D125"/>
    <mergeCell ref="E125:F125"/>
    <mergeCell ref="C130:D130"/>
    <mergeCell ref="E130:F130"/>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14:D114"/>
    <mergeCell ref="E114:F114"/>
    <mergeCell ref="C115:D115"/>
    <mergeCell ref="E115:F115"/>
    <mergeCell ref="C116:D116"/>
    <mergeCell ref="E116:F116"/>
    <mergeCell ref="C111:D111"/>
    <mergeCell ref="E111:F111"/>
    <mergeCell ref="C112:D112"/>
    <mergeCell ref="E112:F112"/>
    <mergeCell ref="C113:D113"/>
    <mergeCell ref="E113:F113"/>
    <mergeCell ref="C110:D110"/>
    <mergeCell ref="E110:F110"/>
    <mergeCell ref="B95:E95"/>
    <mergeCell ref="B96:E96"/>
    <mergeCell ref="G104:H104"/>
    <mergeCell ref="C107:F107"/>
    <mergeCell ref="C108:D108"/>
    <mergeCell ref="E108:F108"/>
    <mergeCell ref="C109:D109"/>
    <mergeCell ref="E109:F109"/>
    <mergeCell ref="I104:J104"/>
    <mergeCell ref="K104:L104"/>
    <mergeCell ref="B105:E105"/>
    <mergeCell ref="B85:E85"/>
    <mergeCell ref="B86:E86"/>
    <mergeCell ref="B87:E87"/>
    <mergeCell ref="B88:E88"/>
    <mergeCell ref="B93:E93"/>
    <mergeCell ref="B94:E94"/>
    <mergeCell ref="E76:E77"/>
    <mergeCell ref="B64:E64"/>
    <mergeCell ref="G64:H64"/>
    <mergeCell ref="J64:K64"/>
    <mergeCell ref="B65:E65"/>
    <mergeCell ref="G65:H65"/>
    <mergeCell ref="J65:K65"/>
    <mergeCell ref="G69:H69"/>
    <mergeCell ref="I69:J69"/>
    <mergeCell ref="K69:L69"/>
    <mergeCell ref="E70:E71"/>
    <mergeCell ref="D76:D80"/>
    <mergeCell ref="D70:D74"/>
    <mergeCell ref="G50:H50"/>
    <mergeCell ref="J50:K50"/>
    <mergeCell ref="G52:G54"/>
    <mergeCell ref="G56:G60"/>
    <mergeCell ref="B62:E62"/>
    <mergeCell ref="G62:H62"/>
    <mergeCell ref="I62:J62"/>
    <mergeCell ref="K62:L62"/>
    <mergeCell ref="I2:J2"/>
    <mergeCell ref="C3:D3"/>
    <mergeCell ref="F3:G3"/>
    <mergeCell ref="I3:J3"/>
    <mergeCell ref="C5:D5"/>
    <mergeCell ref="F5:G5"/>
    <mergeCell ref="I5:J5"/>
    <mergeCell ref="B26:B44"/>
    <mergeCell ref="E26:E44"/>
    <mergeCell ref="H26:H44"/>
    <mergeCell ref="A2:A5"/>
    <mergeCell ref="C2:D2"/>
    <mergeCell ref="F2:G2"/>
  </mergeCells>
  <conditionalFormatting sqref="A6:A44">
    <cfRule type="colorScale" priority="7">
      <colorScale>
        <cfvo type="min"/>
        <cfvo type="percentile" val="50"/>
        <cfvo type="max"/>
        <color rgb="FF63BE7B"/>
        <color rgb="FFFFEB84"/>
        <color rgb="FFF8696B"/>
      </colorScale>
    </cfRule>
  </conditionalFormatting>
  <conditionalFormatting sqref="C6:C44">
    <cfRule type="colorScale" priority="6">
      <colorScale>
        <cfvo type="min"/>
        <cfvo type="percentile" val="50"/>
        <cfvo type="max"/>
        <color rgb="FF63BE7B"/>
        <color rgb="FFFFEB84"/>
        <color rgb="FFF8696B"/>
      </colorScale>
    </cfRule>
  </conditionalFormatting>
  <conditionalFormatting sqref="D6:D44">
    <cfRule type="colorScale" priority="5">
      <colorScale>
        <cfvo type="min"/>
        <cfvo type="percentile" val="50"/>
        <cfvo type="max"/>
        <color rgb="FF63BE7B"/>
        <color rgb="FFFFEB84"/>
        <color rgb="FFF8696B"/>
      </colorScale>
    </cfRule>
  </conditionalFormatting>
  <conditionalFormatting sqref="F6:F44">
    <cfRule type="colorScale" priority="4">
      <colorScale>
        <cfvo type="min"/>
        <cfvo type="percentile" val="50"/>
        <cfvo type="max"/>
        <color rgb="FF63BE7B"/>
        <color rgb="FFFFEB84"/>
        <color rgb="FFF8696B"/>
      </colorScale>
    </cfRule>
  </conditionalFormatting>
  <conditionalFormatting sqref="G6:G44">
    <cfRule type="colorScale" priority="3">
      <colorScale>
        <cfvo type="min"/>
        <cfvo type="percentile" val="50"/>
        <cfvo type="max"/>
        <color rgb="FF63BE7B"/>
        <color rgb="FFFFEB84"/>
        <color rgb="FFF8696B"/>
      </colorScale>
    </cfRule>
  </conditionalFormatting>
  <conditionalFormatting sqref="I6:I44">
    <cfRule type="colorScale" priority="2">
      <colorScale>
        <cfvo type="min"/>
        <cfvo type="percentile" val="50"/>
        <cfvo type="max"/>
        <color rgb="FF63BE7B"/>
        <color rgb="FFFFEB84"/>
        <color rgb="FFF8696B"/>
      </colorScale>
    </cfRule>
  </conditionalFormatting>
  <conditionalFormatting sqref="J6:J44">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ignoredErrors>
    <ignoredError sqref="H78:H80 H72:H74 J72:J74 J78:J8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A9AF-D318-4CD5-9FCB-8B2DC3C531FB}">
  <sheetPr codeName="Tabelle7">
    <tabColor rgb="FFFFC000"/>
  </sheetPr>
  <dimension ref="A1:Q156"/>
  <sheetViews>
    <sheetView topLeftCell="A104" workbookViewId="0">
      <selection activeCell="C123" sqref="C123:D123"/>
    </sheetView>
  </sheetViews>
  <sheetFormatPr baseColWidth="10" defaultColWidth="11.44140625" defaultRowHeight="14.55" x14ac:dyDescent="0.3"/>
  <cols>
    <col min="1" max="1" width="12.6640625" style="384" bestFit="1" customWidth="1"/>
    <col min="2" max="2" width="11.5546875" style="384" bestFit="1" customWidth="1"/>
    <col min="3" max="4" width="11.6640625" style="384" bestFit="1" customWidth="1"/>
    <col min="5" max="5" width="11.5546875" style="384" bestFit="1" customWidth="1"/>
    <col min="6" max="7" width="11.6640625" style="384" bestFit="1" customWidth="1"/>
    <col min="8" max="8" width="15" style="384" bestFit="1" customWidth="1"/>
    <col min="9" max="9" width="11.6640625" style="384" bestFit="1" customWidth="1"/>
    <col min="10" max="12" width="12" style="384" bestFit="1" customWidth="1"/>
    <col min="13" max="16" width="11.5546875" style="384" bestFit="1" customWidth="1"/>
    <col min="17" max="17" width="12"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ht="15" customHeight="1" x14ac:dyDescent="0.3">
      <c r="A2" s="1195" t="s">
        <v>321</v>
      </c>
      <c r="B2" s="390"/>
      <c r="C2" s="1200" t="s">
        <v>322</v>
      </c>
      <c r="D2" s="1201"/>
      <c r="E2" s="390"/>
      <c r="F2" s="1200" t="s">
        <v>323</v>
      </c>
      <c r="G2" s="1201"/>
      <c r="H2" s="390"/>
      <c r="I2" s="1200" t="s">
        <v>324</v>
      </c>
      <c r="J2" s="1201"/>
    </row>
    <row r="3" spans="1:13" ht="1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5">
        <v>2547</v>
      </c>
      <c r="G6" s="426">
        <v>2990</v>
      </c>
      <c r="H6" s="422"/>
      <c r="I6" s="425">
        <v>2990</v>
      </c>
      <c r="J6" s="426">
        <v>3405</v>
      </c>
    </row>
    <row r="7" spans="1:13" x14ac:dyDescent="0.3">
      <c r="A7" s="427">
        <v>10000</v>
      </c>
      <c r="B7" s="422"/>
      <c r="C7" s="428">
        <v>3689</v>
      </c>
      <c r="D7" s="429">
        <v>4408</v>
      </c>
      <c r="E7" s="422"/>
      <c r="F7" s="428">
        <v>4408</v>
      </c>
      <c r="G7" s="430">
        <v>5174</v>
      </c>
      <c r="H7" s="422"/>
      <c r="I7" s="428">
        <v>5174</v>
      </c>
      <c r="J7" s="430">
        <v>5893</v>
      </c>
    </row>
    <row r="8" spans="1:13" x14ac:dyDescent="0.3">
      <c r="A8" s="427">
        <v>15000</v>
      </c>
      <c r="B8" s="422"/>
      <c r="C8" s="428">
        <v>5084</v>
      </c>
      <c r="D8" s="429">
        <v>6075</v>
      </c>
      <c r="E8" s="422"/>
      <c r="F8" s="428">
        <v>6075</v>
      </c>
      <c r="G8" s="430">
        <v>7131</v>
      </c>
      <c r="H8" s="422"/>
      <c r="I8" s="428">
        <v>7131</v>
      </c>
      <c r="J8" s="430">
        <v>8122</v>
      </c>
    </row>
    <row r="9" spans="1:13" x14ac:dyDescent="0.3">
      <c r="A9" s="427">
        <v>25000</v>
      </c>
      <c r="B9" s="422"/>
      <c r="C9" s="428">
        <v>7615</v>
      </c>
      <c r="D9" s="429">
        <v>9098</v>
      </c>
      <c r="E9" s="422"/>
      <c r="F9" s="428">
        <v>9098</v>
      </c>
      <c r="G9" s="430">
        <v>10681</v>
      </c>
      <c r="H9" s="422"/>
      <c r="I9" s="428">
        <v>10681</v>
      </c>
      <c r="J9" s="430">
        <v>12164</v>
      </c>
    </row>
    <row r="10" spans="1:13" x14ac:dyDescent="0.3">
      <c r="A10" s="427">
        <v>35000</v>
      </c>
      <c r="B10" s="422"/>
      <c r="C10" s="428">
        <v>9934</v>
      </c>
      <c r="D10" s="429">
        <v>11869</v>
      </c>
      <c r="E10" s="422"/>
      <c r="F10" s="428">
        <v>11869</v>
      </c>
      <c r="G10" s="430">
        <v>13934</v>
      </c>
      <c r="H10" s="422"/>
      <c r="I10" s="428">
        <v>13934</v>
      </c>
      <c r="J10" s="430">
        <v>15869</v>
      </c>
    </row>
    <row r="11" spans="1:13" x14ac:dyDescent="0.3">
      <c r="A11" s="427">
        <v>50000</v>
      </c>
      <c r="B11" s="422"/>
      <c r="C11" s="428">
        <v>13165</v>
      </c>
      <c r="D11" s="429">
        <v>15729</v>
      </c>
      <c r="E11" s="422"/>
      <c r="F11" s="428">
        <v>15729</v>
      </c>
      <c r="G11" s="430">
        <v>18465</v>
      </c>
      <c r="H11" s="422"/>
      <c r="I11" s="428">
        <v>18465</v>
      </c>
      <c r="J11" s="430">
        <v>21029</v>
      </c>
    </row>
    <row r="12" spans="1:13" x14ac:dyDescent="0.3">
      <c r="A12" s="427">
        <v>75000</v>
      </c>
      <c r="B12" s="422"/>
      <c r="C12" s="428">
        <v>18122</v>
      </c>
      <c r="D12" s="429">
        <v>21652</v>
      </c>
      <c r="E12" s="422"/>
      <c r="F12" s="428">
        <v>21652</v>
      </c>
      <c r="G12" s="430">
        <v>25418</v>
      </c>
      <c r="H12" s="422"/>
      <c r="I12" s="428">
        <v>25418</v>
      </c>
      <c r="J12" s="430">
        <v>28948</v>
      </c>
    </row>
    <row r="13" spans="1:13" x14ac:dyDescent="0.3">
      <c r="A13" s="427">
        <v>100000</v>
      </c>
      <c r="B13" s="422"/>
      <c r="C13" s="428">
        <v>22723</v>
      </c>
      <c r="D13" s="429">
        <v>27150</v>
      </c>
      <c r="E13" s="422"/>
      <c r="F13" s="428">
        <v>27150</v>
      </c>
      <c r="G13" s="430">
        <v>31872</v>
      </c>
      <c r="H13" s="422"/>
      <c r="I13" s="428">
        <v>31872</v>
      </c>
      <c r="J13" s="430">
        <v>36299</v>
      </c>
    </row>
    <row r="14" spans="1:13" x14ac:dyDescent="0.3">
      <c r="A14" s="427">
        <v>150000</v>
      </c>
      <c r="B14" s="422"/>
      <c r="C14" s="428">
        <v>31228</v>
      </c>
      <c r="D14" s="429">
        <v>37311</v>
      </c>
      <c r="E14" s="422"/>
      <c r="F14" s="428">
        <v>37311</v>
      </c>
      <c r="G14" s="430">
        <v>43800</v>
      </c>
      <c r="H14" s="422"/>
      <c r="I14" s="428">
        <v>43800</v>
      </c>
      <c r="J14" s="430">
        <v>49883</v>
      </c>
    </row>
    <row r="15" spans="1:13" x14ac:dyDescent="0.3">
      <c r="A15" s="427">
        <v>250000</v>
      </c>
      <c r="B15" s="422"/>
      <c r="C15" s="428">
        <v>46640</v>
      </c>
      <c r="D15" s="429">
        <v>55726</v>
      </c>
      <c r="E15" s="422"/>
      <c r="F15" s="428">
        <v>55726</v>
      </c>
      <c r="G15" s="430">
        <v>65418</v>
      </c>
      <c r="H15" s="422"/>
      <c r="I15" s="428">
        <v>65418</v>
      </c>
      <c r="J15" s="430">
        <v>74504</v>
      </c>
    </row>
    <row r="16" spans="1:13" x14ac:dyDescent="0.3">
      <c r="A16" s="427">
        <v>500000</v>
      </c>
      <c r="B16" s="422"/>
      <c r="C16" s="428">
        <v>80684</v>
      </c>
      <c r="D16" s="429">
        <v>96402</v>
      </c>
      <c r="E16" s="422"/>
      <c r="F16" s="428">
        <v>96402</v>
      </c>
      <c r="G16" s="430">
        <v>113168</v>
      </c>
      <c r="H16" s="422"/>
      <c r="I16" s="428">
        <v>113168</v>
      </c>
      <c r="J16" s="430">
        <v>128886</v>
      </c>
    </row>
    <row r="17" spans="1:10" x14ac:dyDescent="0.3">
      <c r="A17" s="427">
        <v>750000</v>
      </c>
      <c r="B17" s="422"/>
      <c r="C17" s="428">
        <v>111105</v>
      </c>
      <c r="D17" s="429">
        <v>132749</v>
      </c>
      <c r="E17" s="422"/>
      <c r="F17" s="428">
        <v>132749</v>
      </c>
      <c r="G17" s="430">
        <v>155836</v>
      </c>
      <c r="H17" s="422"/>
      <c r="I17" s="428">
        <v>155836</v>
      </c>
      <c r="J17" s="430">
        <v>177480</v>
      </c>
    </row>
    <row r="18" spans="1:10" x14ac:dyDescent="0.3">
      <c r="A18" s="427">
        <v>1000000</v>
      </c>
      <c r="B18" s="422"/>
      <c r="C18" s="428">
        <v>139347</v>
      </c>
      <c r="D18" s="429">
        <v>166493</v>
      </c>
      <c r="E18" s="422"/>
      <c r="F18" s="428">
        <v>166493</v>
      </c>
      <c r="G18" s="430">
        <v>195448</v>
      </c>
      <c r="H18" s="422"/>
      <c r="I18" s="428">
        <v>195448</v>
      </c>
      <c r="J18" s="430">
        <v>222594</v>
      </c>
    </row>
    <row r="19" spans="1:10" x14ac:dyDescent="0.3">
      <c r="A19" s="427">
        <v>1250000</v>
      </c>
      <c r="B19" s="422"/>
      <c r="C19" s="428">
        <v>166043</v>
      </c>
      <c r="D19" s="429">
        <v>198389</v>
      </c>
      <c r="E19" s="422"/>
      <c r="F19" s="428">
        <v>198389</v>
      </c>
      <c r="G19" s="430">
        <v>232891</v>
      </c>
      <c r="H19" s="422"/>
      <c r="I19" s="428">
        <v>232891</v>
      </c>
      <c r="J19" s="430">
        <v>265237</v>
      </c>
    </row>
    <row r="20" spans="1:10" x14ac:dyDescent="0.3">
      <c r="A20" s="427">
        <v>1500000</v>
      </c>
      <c r="B20" s="422"/>
      <c r="C20" s="428">
        <v>191545</v>
      </c>
      <c r="D20" s="429">
        <v>228859</v>
      </c>
      <c r="E20" s="422"/>
      <c r="F20" s="428">
        <v>228859</v>
      </c>
      <c r="G20" s="430">
        <v>268660</v>
      </c>
      <c r="H20" s="422"/>
      <c r="I20" s="428">
        <v>268660</v>
      </c>
      <c r="J20" s="430">
        <v>305974</v>
      </c>
    </row>
    <row r="21" spans="1:10" x14ac:dyDescent="0.3">
      <c r="A21" s="427">
        <v>2000000</v>
      </c>
      <c r="B21" s="422"/>
      <c r="C21" s="428">
        <v>239792</v>
      </c>
      <c r="D21" s="429">
        <v>286504</v>
      </c>
      <c r="E21" s="422"/>
      <c r="F21" s="428">
        <v>286504</v>
      </c>
      <c r="G21" s="430">
        <v>336331</v>
      </c>
      <c r="H21" s="422"/>
      <c r="I21" s="428">
        <v>336331</v>
      </c>
      <c r="J21" s="430">
        <v>383044</v>
      </c>
    </row>
    <row r="22" spans="1:10" x14ac:dyDescent="0.3">
      <c r="A22" s="427">
        <v>2500000</v>
      </c>
      <c r="B22" s="422"/>
      <c r="C22" s="428">
        <v>285649</v>
      </c>
      <c r="D22" s="429">
        <v>341295</v>
      </c>
      <c r="E22" s="422"/>
      <c r="F22" s="428">
        <v>341295</v>
      </c>
      <c r="G22" s="430">
        <v>400650</v>
      </c>
      <c r="H22" s="422"/>
      <c r="I22" s="428">
        <v>400650</v>
      </c>
      <c r="J22" s="430">
        <v>456296</v>
      </c>
    </row>
    <row r="23" spans="1:10" x14ac:dyDescent="0.3">
      <c r="A23" s="427">
        <v>3000000</v>
      </c>
      <c r="B23" s="422"/>
      <c r="C23" s="428">
        <v>329420</v>
      </c>
      <c r="D23" s="429">
        <v>393593</v>
      </c>
      <c r="E23" s="422"/>
      <c r="F23" s="428">
        <v>393593</v>
      </c>
      <c r="G23" s="430">
        <v>462044</v>
      </c>
      <c r="H23" s="422"/>
      <c r="I23" s="428">
        <v>462044</v>
      </c>
      <c r="J23" s="430">
        <v>526217</v>
      </c>
    </row>
    <row r="24" spans="1:10" x14ac:dyDescent="0.3">
      <c r="A24" s="427">
        <v>3500000</v>
      </c>
      <c r="B24" s="422"/>
      <c r="C24" s="428">
        <v>371491</v>
      </c>
      <c r="D24" s="429">
        <v>443859</v>
      </c>
      <c r="E24" s="422"/>
      <c r="F24" s="428">
        <v>443859</v>
      </c>
      <c r="G24" s="430">
        <v>521052</v>
      </c>
      <c r="H24" s="422"/>
      <c r="I24" s="428">
        <v>521052</v>
      </c>
      <c r="J24" s="430">
        <v>593420</v>
      </c>
    </row>
    <row r="25" spans="1:10" ht="15.2" thickBot="1" x14ac:dyDescent="0.35">
      <c r="A25" s="427">
        <v>4000000</v>
      </c>
      <c r="B25" s="431"/>
      <c r="C25" s="428">
        <v>412126</v>
      </c>
      <c r="D25" s="429">
        <v>492410</v>
      </c>
      <c r="E25" s="432"/>
      <c r="F25" s="428">
        <v>492410</v>
      </c>
      <c r="G25" s="429">
        <v>578046</v>
      </c>
      <c r="H25" s="422"/>
      <c r="I25" s="428">
        <v>578046</v>
      </c>
      <c r="J25" s="430">
        <v>658331</v>
      </c>
    </row>
    <row r="26" spans="1:10" x14ac:dyDescent="0.3">
      <c r="A26" s="427">
        <v>5000000</v>
      </c>
      <c r="B26" s="1255" t="s">
        <v>334</v>
      </c>
      <c r="C26" s="428">
        <v>491179</v>
      </c>
      <c r="D26" s="429">
        <v>586864</v>
      </c>
      <c r="E26" s="1255" t="s">
        <v>334</v>
      </c>
      <c r="F26" s="428">
        <f>D26</f>
        <v>586864</v>
      </c>
      <c r="G26" s="429">
        <v>688927</v>
      </c>
      <c r="H26" s="1255" t="s">
        <v>334</v>
      </c>
      <c r="I26" s="428">
        <f>G26</f>
        <v>688927</v>
      </c>
      <c r="J26" s="429">
        <v>784611</v>
      </c>
    </row>
    <row r="27" spans="1:10" x14ac:dyDescent="0.3">
      <c r="A27" s="427">
        <v>6000000</v>
      </c>
      <c r="B27" s="1256"/>
      <c r="C27" s="428">
        <v>566898</v>
      </c>
      <c r="D27" s="429">
        <v>677333</v>
      </c>
      <c r="E27" s="1256"/>
      <c r="F27" s="428">
        <f>D27</f>
        <v>677333</v>
      </c>
      <c r="G27" s="429">
        <v>795130</v>
      </c>
      <c r="H27" s="1256"/>
      <c r="I27" s="428">
        <f>G27</f>
        <v>795130</v>
      </c>
      <c r="J27" s="429">
        <v>905564</v>
      </c>
    </row>
    <row r="28" spans="1:10" x14ac:dyDescent="0.3">
      <c r="A28" s="427">
        <v>7000000</v>
      </c>
      <c r="B28" s="1256"/>
      <c r="C28" s="428">
        <v>639950</v>
      </c>
      <c r="D28" s="429">
        <v>764616</v>
      </c>
      <c r="E28" s="1256"/>
      <c r="F28" s="428">
        <f t="shared" ref="F28:F44" si="0">D28</f>
        <v>764616</v>
      </c>
      <c r="G28" s="429">
        <v>897593</v>
      </c>
      <c r="H28" s="1256"/>
      <c r="I28" s="428">
        <f t="shared" ref="I28:I44" si="1">G28</f>
        <v>897593</v>
      </c>
      <c r="J28" s="429">
        <v>1022258</v>
      </c>
    </row>
    <row r="29" spans="1:10" x14ac:dyDescent="0.3">
      <c r="A29" s="427">
        <v>8000000</v>
      </c>
      <c r="B29" s="1256"/>
      <c r="C29" s="428">
        <v>710795</v>
      </c>
      <c r="D29" s="429">
        <v>849261</v>
      </c>
      <c r="E29" s="1256"/>
      <c r="F29" s="428">
        <f t="shared" si="0"/>
        <v>849261</v>
      </c>
      <c r="G29" s="429">
        <v>996959</v>
      </c>
      <c r="H29" s="1256"/>
      <c r="I29" s="428">
        <f t="shared" si="1"/>
        <v>996959</v>
      </c>
      <c r="J29" s="429">
        <v>1135425</v>
      </c>
    </row>
    <row r="30" spans="1:10" x14ac:dyDescent="0.3">
      <c r="A30" s="427">
        <v>9000000</v>
      </c>
      <c r="B30" s="1256"/>
      <c r="C30" s="428">
        <v>779763</v>
      </c>
      <c r="D30" s="429">
        <v>931665</v>
      </c>
      <c r="E30" s="1256"/>
      <c r="F30" s="428">
        <f t="shared" si="0"/>
        <v>931665</v>
      </c>
      <c r="G30" s="429">
        <v>1093694</v>
      </c>
      <c r="H30" s="1256"/>
      <c r="I30" s="428">
        <f t="shared" si="1"/>
        <v>1093694</v>
      </c>
      <c r="J30" s="429">
        <v>1245595</v>
      </c>
    </row>
    <row r="31" spans="1:10" x14ac:dyDescent="0.3">
      <c r="A31" s="427">
        <v>10000000</v>
      </c>
      <c r="B31" s="1256"/>
      <c r="C31" s="428">
        <v>847106</v>
      </c>
      <c r="D31" s="429">
        <v>1012127</v>
      </c>
      <c r="E31" s="1256"/>
      <c r="F31" s="428">
        <f t="shared" si="0"/>
        <v>1012127</v>
      </c>
      <c r="G31" s="429">
        <v>1188149</v>
      </c>
      <c r="H31" s="1256"/>
      <c r="I31" s="428">
        <f t="shared" si="1"/>
        <v>1188149</v>
      </c>
      <c r="J31" s="429">
        <v>1353170</v>
      </c>
    </row>
    <row r="32" spans="1:10" x14ac:dyDescent="0.3">
      <c r="A32" s="427">
        <v>12500000</v>
      </c>
      <c r="B32" s="1256"/>
      <c r="C32" s="428">
        <v>1009545</v>
      </c>
      <c r="D32" s="429">
        <v>1206209</v>
      </c>
      <c r="E32" s="1256"/>
      <c r="F32" s="428">
        <f t="shared" si="0"/>
        <v>1206209</v>
      </c>
      <c r="G32" s="429">
        <v>1415985</v>
      </c>
      <c r="H32" s="1256"/>
      <c r="I32" s="428">
        <f t="shared" si="1"/>
        <v>1415985</v>
      </c>
      <c r="J32" s="429">
        <v>1612649</v>
      </c>
    </row>
    <row r="33" spans="1:17" x14ac:dyDescent="0.3">
      <c r="A33" s="427">
        <v>15000000</v>
      </c>
      <c r="B33" s="1256"/>
      <c r="C33" s="428">
        <v>1165120</v>
      </c>
      <c r="D33" s="429">
        <v>1392092</v>
      </c>
      <c r="E33" s="1256"/>
      <c r="F33" s="428">
        <f t="shared" si="0"/>
        <v>1392092</v>
      </c>
      <c r="G33" s="429">
        <v>1634195</v>
      </c>
      <c r="H33" s="1256"/>
      <c r="I33" s="428">
        <f t="shared" si="1"/>
        <v>1634195</v>
      </c>
      <c r="J33" s="429">
        <v>1861166</v>
      </c>
    </row>
    <row r="34" spans="1:17" x14ac:dyDescent="0.3">
      <c r="A34" s="427">
        <v>17500000</v>
      </c>
      <c r="B34" s="1256"/>
      <c r="C34" s="428">
        <v>1315210</v>
      </c>
      <c r="D34" s="429">
        <v>1571419</v>
      </c>
      <c r="E34" s="1256"/>
      <c r="F34" s="428">
        <f t="shared" si="0"/>
        <v>1571419</v>
      </c>
      <c r="G34" s="429">
        <v>1844710</v>
      </c>
      <c r="H34" s="1256"/>
      <c r="I34" s="428">
        <f t="shared" si="1"/>
        <v>1844710</v>
      </c>
      <c r="J34" s="429">
        <v>2100919</v>
      </c>
    </row>
    <row r="35" spans="1:17" x14ac:dyDescent="0.3">
      <c r="A35" s="427">
        <v>20000000</v>
      </c>
      <c r="B35" s="1256"/>
      <c r="C35" s="428">
        <v>1460755</v>
      </c>
      <c r="D35" s="429">
        <v>1745318</v>
      </c>
      <c r="E35" s="1256"/>
      <c r="F35" s="428">
        <f t="shared" si="0"/>
        <v>1745318</v>
      </c>
      <c r="G35" s="429">
        <v>2048852</v>
      </c>
      <c r="H35" s="1256"/>
      <c r="I35" s="428">
        <f t="shared" si="1"/>
        <v>2048852</v>
      </c>
      <c r="J35" s="429">
        <v>2333414</v>
      </c>
    </row>
    <row r="36" spans="1:17" x14ac:dyDescent="0.3">
      <c r="A36" s="427">
        <v>25000000</v>
      </c>
      <c r="B36" s="1256"/>
      <c r="C36" s="428">
        <v>1740783</v>
      </c>
      <c r="D36" s="429">
        <v>2079896</v>
      </c>
      <c r="E36" s="1256"/>
      <c r="F36" s="428">
        <f t="shared" si="0"/>
        <v>2079896</v>
      </c>
      <c r="G36" s="429">
        <v>2441617</v>
      </c>
      <c r="H36" s="1256"/>
      <c r="I36" s="428">
        <f t="shared" si="1"/>
        <v>2441617</v>
      </c>
      <c r="J36" s="429">
        <v>2780731</v>
      </c>
    </row>
    <row r="37" spans="1:17" x14ac:dyDescent="0.3">
      <c r="A37" s="427">
        <v>30000000</v>
      </c>
      <c r="B37" s="1256"/>
      <c r="C37" s="428">
        <v>2008964</v>
      </c>
      <c r="D37" s="429">
        <v>2400321</v>
      </c>
      <c r="E37" s="1256"/>
      <c r="F37" s="428">
        <f t="shared" si="0"/>
        <v>2400321</v>
      </c>
      <c r="G37" s="429">
        <v>2817768</v>
      </c>
      <c r="H37" s="1256"/>
      <c r="I37" s="428">
        <f t="shared" si="1"/>
        <v>2817768</v>
      </c>
      <c r="J37" s="429">
        <v>3209125</v>
      </c>
    </row>
    <row r="38" spans="1:17" x14ac:dyDescent="0.3">
      <c r="A38" s="427">
        <v>40000000</v>
      </c>
      <c r="B38" s="1256"/>
      <c r="C38" s="428">
        <v>2518545</v>
      </c>
      <c r="D38" s="429">
        <v>3009171</v>
      </c>
      <c r="E38" s="1256"/>
      <c r="F38" s="428">
        <f t="shared" si="0"/>
        <v>3009171</v>
      </c>
      <c r="G38" s="429">
        <v>3532505</v>
      </c>
      <c r="H38" s="1256"/>
      <c r="I38" s="428">
        <f t="shared" si="1"/>
        <v>3532505</v>
      </c>
      <c r="J38" s="429">
        <v>4023130</v>
      </c>
    </row>
    <row r="39" spans="1:17" x14ac:dyDescent="0.3">
      <c r="A39" s="427">
        <v>50000000</v>
      </c>
      <c r="B39" s="1256"/>
      <c r="C39" s="428">
        <v>3001186</v>
      </c>
      <c r="D39" s="429">
        <v>3585832</v>
      </c>
      <c r="E39" s="1256"/>
      <c r="F39" s="428">
        <f t="shared" si="0"/>
        <v>3585832</v>
      </c>
      <c r="G39" s="429">
        <v>4209455</v>
      </c>
      <c r="H39" s="1256"/>
      <c r="I39" s="428">
        <f t="shared" si="1"/>
        <v>4209455</v>
      </c>
      <c r="J39" s="429">
        <v>4794102</v>
      </c>
    </row>
    <row r="40" spans="1:17" x14ac:dyDescent="0.3">
      <c r="A40" s="427">
        <v>75000000</v>
      </c>
      <c r="B40" s="1256"/>
      <c r="C40" s="428">
        <v>4126934</v>
      </c>
      <c r="D40" s="429">
        <v>4930882</v>
      </c>
      <c r="E40" s="1256"/>
      <c r="F40" s="428">
        <f t="shared" si="0"/>
        <v>4930882</v>
      </c>
      <c r="G40" s="429">
        <v>5788426</v>
      </c>
      <c r="H40" s="1256"/>
      <c r="I40" s="428">
        <f t="shared" si="1"/>
        <v>5788426</v>
      </c>
      <c r="J40" s="429">
        <v>6592374</v>
      </c>
    </row>
    <row r="41" spans="1:17" x14ac:dyDescent="0.3">
      <c r="A41" s="427">
        <v>100000000</v>
      </c>
      <c r="B41" s="1256"/>
      <c r="C41" s="428">
        <v>5173197</v>
      </c>
      <c r="D41" s="429">
        <v>6180963</v>
      </c>
      <c r="E41" s="1256"/>
      <c r="F41" s="428">
        <f t="shared" si="0"/>
        <v>6180963</v>
      </c>
      <c r="G41" s="429">
        <v>7255913</v>
      </c>
      <c r="H41" s="1256"/>
      <c r="I41" s="428">
        <f t="shared" si="1"/>
        <v>7255913</v>
      </c>
      <c r="J41" s="429">
        <v>8263678</v>
      </c>
    </row>
    <row r="42" spans="1:17" x14ac:dyDescent="0.3">
      <c r="A42" s="427">
        <v>150000000</v>
      </c>
      <c r="B42" s="1256"/>
      <c r="C42" s="428">
        <v>7112783</v>
      </c>
      <c r="D42" s="429">
        <v>8498390</v>
      </c>
      <c r="E42" s="1256"/>
      <c r="F42" s="428">
        <f t="shared" si="0"/>
        <v>8498390</v>
      </c>
      <c r="G42" s="429">
        <v>9976370</v>
      </c>
      <c r="H42" s="1256"/>
      <c r="I42" s="428">
        <f t="shared" si="1"/>
        <v>9976370</v>
      </c>
      <c r="J42" s="429">
        <v>11361977</v>
      </c>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row>
    <row r="45" spans="1:17" x14ac:dyDescent="0.3">
      <c r="A45" s="436"/>
      <c r="B45" s="431"/>
      <c r="C45" s="436"/>
      <c r="D45" s="436"/>
      <c r="E45" s="431"/>
      <c r="F45" s="436"/>
      <c r="G45" s="436"/>
      <c r="H45" s="431"/>
      <c r="I45" s="436"/>
      <c r="J45" s="436"/>
    </row>
    <row r="46" spans="1:17" s="445" customFormat="1" ht="26.25" customHeight="1" x14ac:dyDescent="0.3">
      <c r="A46" s="437"/>
      <c r="B46" s="438" t="s">
        <v>481</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t="e">
        <f>#REF!</f>
        <v>#REF!</v>
      </c>
      <c r="H62" s="1263"/>
      <c r="I62" s="1262" t="e">
        <f>#REF!</f>
        <v>#REF!</v>
      </c>
      <c r="J62" s="1263"/>
      <c r="K62" s="1262" t="e">
        <f>#REF!</f>
        <v>#REF!</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t="e">
        <f>#REF!</f>
        <v>#REF!</v>
      </c>
      <c r="H64" s="1182"/>
      <c r="J64" s="1258"/>
      <c r="K64" s="1258"/>
      <c r="L64" s="456"/>
      <c r="M64" s="459"/>
      <c r="N64" s="443"/>
      <c r="O64" s="443"/>
      <c r="P64" s="443"/>
      <c r="Q64" s="444"/>
    </row>
    <row r="65" spans="1:17" x14ac:dyDescent="0.3">
      <c r="A65" s="446"/>
      <c r="B65" s="1242" t="s">
        <v>338</v>
      </c>
      <c r="C65" s="1243"/>
      <c r="D65" s="1243"/>
      <c r="E65" s="1244"/>
      <c r="F65" s="458"/>
      <c r="G65" s="1181" t="e">
        <f>#REF!</f>
        <v>#REF!</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252" t="s">
        <v>337</v>
      </c>
      <c r="F70" s="460"/>
      <c r="G70" s="461" t="s">
        <v>349</v>
      </c>
      <c r="H70" s="462" t="e">
        <f>IF(G62&lt;$A$6,0,IF(G62&gt;$A$44,0,VLOOKUP(G62,$A$6:$A$44,1)))</f>
        <v>#REF!</v>
      </c>
      <c r="I70" s="461" t="s">
        <v>349</v>
      </c>
      <c r="J70" s="462" t="e">
        <f>IF(I62&lt;$A$6,0,IF(I62&gt;$A$44,0,VLOOKUP(I62,$A$6:$A$44,1)))</f>
        <v>#REF!</v>
      </c>
      <c r="K70" s="461" t="s">
        <v>349</v>
      </c>
      <c r="L70" s="462" t="e">
        <f>IF(K62&lt;$A$6,0,IF(K62&gt;$A$44,0,VLOOKUP(K62,$A$6:$A$44,1)))</f>
        <v>#REF!</v>
      </c>
      <c r="M70" s="74"/>
      <c r="N70" s="444"/>
      <c r="O70" s="444"/>
      <c r="P70" s="444"/>
      <c r="Q70" s="444"/>
    </row>
    <row r="71" spans="1:17" x14ac:dyDescent="0.3">
      <c r="A71" s="446"/>
      <c r="B71" s="449"/>
      <c r="C71" s="449"/>
      <c r="D71" s="1223"/>
      <c r="E71" s="1254"/>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387">
        <v>1</v>
      </c>
      <c r="F72" s="74"/>
      <c r="G72" s="462" t="e">
        <f>IF(G62&lt;$A$6,0,IF(G62&gt;$A$44,0,VLOOKUP(H70,$A$6:$J$44,3)))</f>
        <v>#REF!</v>
      </c>
      <c r="H72" s="462" t="e">
        <f>IF(G62&lt;$A$6,0,IF(G62&gt;$A$44,0,VLOOKUP(G72,$C$6:$D$44,2)))</f>
        <v>#REF!</v>
      </c>
      <c r="I72" s="462" t="e">
        <f>IF(I62&lt;$A$6,0,IF(I62&gt;$A$44,0,VLOOKUP(J70,$A$6:$J$44,3)))</f>
        <v>#REF!</v>
      </c>
      <c r="J72" s="462" t="e">
        <f>IF(I62&lt;$A$6,0,IF(I62&gt;$A$44,0,VLOOKUP(I72,$C$6:$D$44,2)))</f>
        <v>#REF!</v>
      </c>
      <c r="K72" s="462" t="e">
        <f>IF(K62&lt;$A$6,0,IF(K62&gt;$A$44,0,VLOOKUP(L70,$A$6:$J$44,3)))</f>
        <v>#REF!</v>
      </c>
      <c r="L72" s="462" t="e">
        <f>IF(K62&lt;$A$6,0,IF(K62&gt;$A$44,0,VLOOKUP(K72,$C$6:$D$44,2)))</f>
        <v>#REF!</v>
      </c>
      <c r="M72" s="460"/>
      <c r="N72" s="444"/>
      <c r="O72" s="444"/>
      <c r="P72" s="444"/>
      <c r="Q72" s="444"/>
    </row>
    <row r="73" spans="1:17" x14ac:dyDescent="0.3">
      <c r="A73" s="446"/>
      <c r="B73" s="449"/>
      <c r="C73" s="449"/>
      <c r="D73" s="1223"/>
      <c r="E73" s="387">
        <v>2</v>
      </c>
      <c r="F73" s="74"/>
      <c r="G73" s="462" t="e">
        <f>IF(G62&lt;$A$6,0,IF(G62&gt;$A$44,0,VLOOKUP(H70,$A$6:$J$44,6)))</f>
        <v>#REF!</v>
      </c>
      <c r="H73" s="462" t="e">
        <f>IF(G62&lt;$A$6,0,IF(G62&gt;$A$44,0,VLOOKUP(G73,$F$6:$G$44,2)))</f>
        <v>#REF!</v>
      </c>
      <c r="I73" s="462" t="e">
        <f>IF(I62&lt;$A$6,0,IF(I62&gt;$A$44,0,VLOOKUP(J70,$A$6:$J$44,6)))</f>
        <v>#REF!</v>
      </c>
      <c r="J73" s="462" t="e">
        <f>IF(I62&lt;$A$6,0,IF(I62&gt;$A$44,0,VLOOKUP(I73,$F$6:$G$44,2)))</f>
        <v>#REF!</v>
      </c>
      <c r="K73" s="462" t="e">
        <f>IF(K62&lt;$A$6,0,IF(K62&gt;$A$44,0,VLOOKUP(L70,$A$6:$J$44,6)))</f>
        <v>#REF!</v>
      </c>
      <c r="L73" s="462" t="e">
        <f>IF(K62&lt;$A$6,0,IF(K62&gt;$A$44,0,VLOOKUP(K73,$F$6:$G$44,2)))</f>
        <v>#REF!</v>
      </c>
      <c r="M73" s="460"/>
      <c r="N73" s="444"/>
      <c r="O73" s="444"/>
      <c r="P73" s="444"/>
      <c r="Q73" s="444"/>
    </row>
    <row r="74" spans="1:17" x14ac:dyDescent="0.3">
      <c r="A74" s="446"/>
      <c r="B74" s="449"/>
      <c r="C74" s="449"/>
      <c r="D74" s="1224"/>
      <c r="E74" s="387">
        <v>3</v>
      </c>
      <c r="F74" s="74"/>
      <c r="G74" s="462" t="e">
        <f>IF(G62&lt;$A$6,0,IF(G62&gt;$A$44,0,VLOOKUP(H70,$A$6:$J$44,9)))</f>
        <v>#REF!</v>
      </c>
      <c r="H74" s="462" t="e">
        <f>IF(G62&lt;$A$6,0,IF(G62&gt;$A$44,0,VLOOKUP(G74,$I$6:$J$44,2)))</f>
        <v>#REF!</v>
      </c>
      <c r="I74" s="462" t="e">
        <f>IF(I62&lt;$A$6,0,IF(I62&gt;$A$44,0,VLOOKUP(J70,$A$6:$J$44,9)))</f>
        <v>#REF!</v>
      </c>
      <c r="J74" s="462" t="e">
        <f>IF(I62&lt;$A$6,0,IF(I62&gt;$A$44,0,VLOOKUP(I74,$I$6:$J$44,2)))</f>
        <v>#REF!</v>
      </c>
      <c r="K74" s="462" t="e">
        <f>IF(K62&lt;$A$6,0,IF(K62&gt;$A$44,0,VLOOKUP(L70,$A$6:$J$44,9)))</f>
        <v>#REF!</v>
      </c>
      <c r="L74" s="462" t="e">
        <f>IF(K62&lt;$A$6,0,IF(K62&gt;$A$44,0,VLOOKUP(K74,$I$6:$J$44,2)))</f>
        <v>#REF!</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252" t="s">
        <v>337</v>
      </c>
      <c r="F76" s="74"/>
      <c r="G76" s="461" t="s">
        <v>349</v>
      </c>
      <c r="H76" s="462" t="e">
        <f>IF(G62&lt;$A$6,0,IF(G62&gt;$A$44,0,INDEX($A$6:$A$44,MATCH(G62,$A$6:$A$44,1)+1,1)))</f>
        <v>#REF!</v>
      </c>
      <c r="I76" s="461" t="s">
        <v>349</v>
      </c>
      <c r="J76" s="462" t="e">
        <f>IF(I62&lt;$A$6,0,IF(I62&gt;$A$44,0,INDEX($A$6:$A$44,MATCH(I62,$A$6:$A$44,1)+1,1)))</f>
        <v>#REF!</v>
      </c>
      <c r="K76" s="461" t="s">
        <v>349</v>
      </c>
      <c r="L76" s="462" t="e">
        <f>IF(K62&lt;$A$6,0,IF(K62&gt;$A$44,0,INDEX($A$6:$A$44,MATCH(K62,$A$6:$A$44,1)+1,1)))</f>
        <v>#REF!</v>
      </c>
      <c r="M76" s="74"/>
      <c r="N76" s="444"/>
      <c r="O76" s="444"/>
      <c r="P76" s="444"/>
      <c r="Q76" s="444"/>
    </row>
    <row r="77" spans="1:17" x14ac:dyDescent="0.3">
      <c r="A77" s="446"/>
      <c r="B77" s="449"/>
      <c r="C77" s="449"/>
      <c r="D77" s="1223"/>
      <c r="E77" s="1254"/>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387">
        <v>1</v>
      </c>
      <c r="F78" s="74"/>
      <c r="G78" s="462" t="e">
        <f>IF(G62&lt;$A$6,0,IF(G62&gt;$A$44,0,VLOOKUP(H76,$A$6:$J$44,3)))</f>
        <v>#REF!</v>
      </c>
      <c r="H78" s="462" t="e">
        <f>IF(G62&lt;$A$6,0,IF(G62&gt;$A$44,0,VLOOKUP(G78,$C$6:$D$44,2)))</f>
        <v>#REF!</v>
      </c>
      <c r="I78" s="462" t="e">
        <f>IF(I62&lt;$A$6,0,IF(I62&gt;$A$44,0,VLOOKUP(J76,$A$6:$J$44,3)))</f>
        <v>#REF!</v>
      </c>
      <c r="J78" s="462" t="e">
        <f>IF(I62&lt;$A$6,0,IF(I62&gt;$A$44,0,VLOOKUP(I78,$C$6:$D$44,2)))</f>
        <v>#REF!</v>
      </c>
      <c r="K78" s="462" t="e">
        <f>IF(K62&lt;$A$6,0,IF(K62&gt;$A$44,0,VLOOKUP(L76,$A$6:$J$44,3)))</f>
        <v>#REF!</v>
      </c>
      <c r="L78" s="462" t="e">
        <f>IF(K62&lt;$A$6,0,IF(K62&gt;$A$44,0,VLOOKUP(K78,$C$6:$D$44,2)))</f>
        <v>#REF!</v>
      </c>
      <c r="M78" s="460"/>
      <c r="N78" s="444"/>
      <c r="O78" s="444"/>
      <c r="P78" s="444"/>
      <c r="Q78" s="444"/>
    </row>
    <row r="79" spans="1:17" x14ac:dyDescent="0.3">
      <c r="A79" s="446"/>
      <c r="B79" s="449"/>
      <c r="C79" s="449"/>
      <c r="D79" s="1223"/>
      <c r="E79" s="387">
        <v>2</v>
      </c>
      <c r="F79" s="74"/>
      <c r="G79" s="462" t="e">
        <f>IF(G62&lt;$A$6,0,IF(G62&gt;$A$44,0,VLOOKUP(H76,$A$6:$J$44,6)))</f>
        <v>#REF!</v>
      </c>
      <c r="H79" s="462" t="e">
        <f>IF(G62&lt;$A$6,0,IF(G62&gt;$A$44,0,VLOOKUP(G79,$F$6:$G$44,2)))</f>
        <v>#REF!</v>
      </c>
      <c r="I79" s="462" t="e">
        <f>IF(I62&lt;$A$6,0,IF(I62&gt;$A$44,0,VLOOKUP(J76,$A$6:$J$44,6)))</f>
        <v>#REF!</v>
      </c>
      <c r="J79" s="462" t="e">
        <f>IF(I62&lt;$A$6,0,IF(I62&gt;$A$44,0,VLOOKUP(I79,$F$6:$G$44,2)))</f>
        <v>#REF!</v>
      </c>
      <c r="K79" s="462" t="e">
        <f>IF(K62&lt;$A$6,0,IF(K62&gt;$A$44,0,VLOOKUP(L76,$A$6:$J$44,6)))</f>
        <v>#REF!</v>
      </c>
      <c r="L79" s="462" t="e">
        <f>IF(K62&lt;$A$6,0,IF(K62&gt;$A$44,0,VLOOKUP(K79,$F$6:$G$44,2)))</f>
        <v>#REF!</v>
      </c>
      <c r="M79" s="460"/>
      <c r="N79" s="444"/>
      <c r="O79" s="444"/>
      <c r="P79" s="444"/>
      <c r="Q79" s="444"/>
    </row>
    <row r="80" spans="1:17" x14ac:dyDescent="0.3">
      <c r="A80" s="446"/>
      <c r="B80" s="449"/>
      <c r="C80" s="449"/>
      <c r="D80" s="1224"/>
      <c r="E80" s="387">
        <v>3</v>
      </c>
      <c r="F80" s="74"/>
      <c r="G80" s="462" t="e">
        <f>IF(G62&lt;$A$6,0,IF(G62&gt;$A$44,0,VLOOKUP(H76,$A$6:$J$44,9)))</f>
        <v>#REF!</v>
      </c>
      <c r="H80" s="462" t="e">
        <f>IF(G62&lt;$A$6,0,IF(G62&gt;$A$44,0,VLOOKUP(G80,$I$6:$J$44,2)))</f>
        <v>#REF!</v>
      </c>
      <c r="I80" s="462" t="e">
        <f>IF(I62&lt;$A$6,0,IF(I62&gt;$A$44,0,VLOOKUP(J76,$A$6:$J$44,9)))</f>
        <v>#REF!</v>
      </c>
      <c r="J80" s="462" t="e">
        <f>IF(I62&lt;$A$6,0,IF(I62&gt;$A$44,0,VLOOKUP(I80,$I$6:$J$44,2)))</f>
        <v>#REF!</v>
      </c>
      <c r="K80" s="462" t="e">
        <f>IF(K62&lt;$A$6,0,IF(K62&gt;$A$44,0,VLOOKUP(L76,$A$6:$J$44,9)))</f>
        <v>#REF!</v>
      </c>
      <c r="L80" s="462" t="e">
        <f>IF(K62&lt;$A$6,0,IF(K62&gt;$A$44,0,VLOOKUP(K80,$I$6:$J$44,2)))</f>
        <v>#REF!</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t="e">
        <f>VLOOKUP(G64,E72:H74,3)</f>
        <v>#REF!</v>
      </c>
      <c r="H85" s="468" t="e">
        <f>VLOOKUP(G64,E72:H74,4)</f>
        <v>#REF!</v>
      </c>
      <c r="I85" s="468" t="e">
        <f>VLOOKUP(G64,E72:J74,5)</f>
        <v>#REF!</v>
      </c>
      <c r="J85" s="468" t="e">
        <f>VLOOKUP(G64,E72:J74,6)</f>
        <v>#REF!</v>
      </c>
      <c r="K85" s="468" t="e">
        <f>VLOOKUP(G64,E72:K74,7)</f>
        <v>#REF!</v>
      </c>
      <c r="L85" s="468" t="e">
        <f>VLOOKUP(G64,E72:L74,8)</f>
        <v>#REF!</v>
      </c>
      <c r="M85" s="469"/>
      <c r="N85" s="444"/>
      <c r="O85" s="444"/>
      <c r="P85" s="444"/>
      <c r="Q85" s="444"/>
    </row>
    <row r="86" spans="1:17" x14ac:dyDescent="0.3">
      <c r="A86" s="446"/>
      <c r="B86" s="1238" t="s">
        <v>350</v>
      </c>
      <c r="C86" s="1238"/>
      <c r="D86" s="1238"/>
      <c r="E86" s="1238"/>
      <c r="F86" s="74"/>
      <c r="G86" s="468" t="e">
        <f>VLOOKUP(G64,E78:H80,3)</f>
        <v>#REF!</v>
      </c>
      <c r="H86" s="468" t="e">
        <f>VLOOKUP(G64,E78:H80,4)</f>
        <v>#REF!</v>
      </c>
      <c r="I86" s="468" t="e">
        <f>VLOOKUP(G64,E78:J80,5)</f>
        <v>#REF!</v>
      </c>
      <c r="J86" s="468" t="e">
        <f>VLOOKUP(G64,E78:J80,6)</f>
        <v>#REF!</v>
      </c>
      <c r="K86" s="468" t="e">
        <f>VLOOKUP(G64,E78:K80,7)</f>
        <v>#REF!</v>
      </c>
      <c r="L86" s="468" t="e">
        <f>VLOOKUP(G64,E78:L80,8)</f>
        <v>#REF!</v>
      </c>
      <c r="M86" s="469"/>
      <c r="N86" s="444"/>
      <c r="O86" s="444"/>
      <c r="P86" s="444"/>
      <c r="Q86" s="444"/>
    </row>
    <row r="87" spans="1:17" x14ac:dyDescent="0.3">
      <c r="A87" s="446"/>
      <c r="B87" s="1245" t="s">
        <v>352</v>
      </c>
      <c r="C87" s="1246"/>
      <c r="D87" s="1246"/>
      <c r="E87" s="1247"/>
      <c r="F87" s="74"/>
      <c r="G87" s="470" t="e">
        <f t="shared" ref="G87:L87" si="2">G86-G85</f>
        <v>#REF!</v>
      </c>
      <c r="H87" s="470" t="e">
        <f t="shared" si="2"/>
        <v>#REF!</v>
      </c>
      <c r="I87" s="470" t="e">
        <f t="shared" si="2"/>
        <v>#REF!</v>
      </c>
      <c r="J87" s="470" t="e">
        <f t="shared" si="2"/>
        <v>#REF!</v>
      </c>
      <c r="K87" s="470" t="e">
        <f t="shared" si="2"/>
        <v>#REF!</v>
      </c>
      <c r="L87" s="470" t="e">
        <f t="shared" si="2"/>
        <v>#REF!</v>
      </c>
      <c r="M87" s="471"/>
      <c r="N87" s="444"/>
      <c r="O87" s="444"/>
      <c r="P87" s="444"/>
      <c r="Q87" s="444"/>
    </row>
    <row r="88" spans="1:17" x14ac:dyDescent="0.3">
      <c r="A88" s="446"/>
      <c r="B88" s="1238" t="s">
        <v>353</v>
      </c>
      <c r="C88" s="1238"/>
      <c r="D88" s="1238"/>
      <c r="E88" s="1238"/>
      <c r="F88" s="74"/>
      <c r="G88" s="470" t="e">
        <f>G62-H70</f>
        <v>#REF!</v>
      </c>
      <c r="H88" s="472" t="e">
        <f>G64</f>
        <v>#REF!</v>
      </c>
      <c r="I88" s="470" t="e">
        <f>I62-J70</f>
        <v>#REF!</v>
      </c>
      <c r="J88" s="472" t="e">
        <f>G64</f>
        <v>#REF!</v>
      </c>
      <c r="K88" s="470" t="e">
        <f>K62-L70</f>
        <v>#REF!</v>
      </c>
      <c r="L88" s="472" t="e">
        <f>G64</f>
        <v>#REF!</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t="e">
        <f t="shared" ref="G93:L93" si="3">G85</f>
        <v>#REF!</v>
      </c>
      <c r="H93" s="468" t="e">
        <f t="shared" si="3"/>
        <v>#REF!</v>
      </c>
      <c r="I93" s="468" t="e">
        <f t="shared" si="3"/>
        <v>#REF!</v>
      </c>
      <c r="J93" s="468" t="e">
        <f t="shared" si="3"/>
        <v>#REF!</v>
      </c>
      <c r="K93" s="468" t="e">
        <f t="shared" si="3"/>
        <v>#REF!</v>
      </c>
      <c r="L93" s="468" t="e">
        <f t="shared" si="3"/>
        <v>#REF!</v>
      </c>
      <c r="M93" s="469"/>
    </row>
    <row r="94" spans="1:17" x14ac:dyDescent="0.3">
      <c r="A94" s="446"/>
      <c r="B94" s="1238" t="s">
        <v>356</v>
      </c>
      <c r="C94" s="1238"/>
      <c r="D94" s="1238"/>
      <c r="E94" s="1238"/>
      <c r="F94" s="473"/>
      <c r="G94" s="468" t="e">
        <f>G88</f>
        <v>#REF!</v>
      </c>
      <c r="H94" s="468" t="e">
        <f>G88</f>
        <v>#REF!</v>
      </c>
      <c r="I94" s="468" t="e">
        <f>I88</f>
        <v>#REF!</v>
      </c>
      <c r="J94" s="468" t="e">
        <f>I88</f>
        <v>#REF!</v>
      </c>
      <c r="K94" s="468" t="e">
        <f>K88</f>
        <v>#REF!</v>
      </c>
      <c r="L94" s="468" t="e">
        <f>K88</f>
        <v>#REF!</v>
      </c>
      <c r="M94" s="469"/>
    </row>
    <row r="95" spans="1:17" x14ac:dyDescent="0.3">
      <c r="A95" s="446"/>
      <c r="B95" s="1238" t="s">
        <v>357</v>
      </c>
      <c r="C95" s="1238"/>
      <c r="D95" s="1238"/>
      <c r="E95" s="1238"/>
      <c r="F95" s="473"/>
      <c r="G95" s="468" t="e">
        <f t="shared" ref="G95:L95" si="4">G87</f>
        <v>#REF!</v>
      </c>
      <c r="H95" s="468" t="e">
        <f t="shared" si="4"/>
        <v>#REF!</v>
      </c>
      <c r="I95" s="468" t="e">
        <f t="shared" si="4"/>
        <v>#REF!</v>
      </c>
      <c r="J95" s="468" t="e">
        <f t="shared" si="4"/>
        <v>#REF!</v>
      </c>
      <c r="K95" s="468" t="e">
        <f t="shared" si="4"/>
        <v>#REF!</v>
      </c>
      <c r="L95" s="468" t="e">
        <f t="shared" si="4"/>
        <v>#REF!</v>
      </c>
      <c r="M95" s="469"/>
    </row>
    <row r="96" spans="1:17" x14ac:dyDescent="0.3">
      <c r="A96" s="446"/>
      <c r="B96" s="1238" t="s">
        <v>358</v>
      </c>
      <c r="C96" s="1238"/>
      <c r="D96" s="1238"/>
      <c r="E96" s="1238"/>
      <c r="F96" s="473"/>
      <c r="G96" s="468" t="e">
        <f>H76-H70</f>
        <v>#REF!</v>
      </c>
      <c r="H96" s="468" t="e">
        <f>H76-H70</f>
        <v>#REF!</v>
      </c>
      <c r="I96" s="468" t="e">
        <f>J76-J70</f>
        <v>#REF!</v>
      </c>
      <c r="J96" s="468" t="e">
        <f>J76-J70</f>
        <v>#REF!</v>
      </c>
      <c r="K96" s="468" t="e">
        <f>L76-L70</f>
        <v>#REF!</v>
      </c>
      <c r="L96" s="468" t="e">
        <f>L76-L70</f>
        <v>#REF!</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t="e">
        <f>IF(G96=0,0,G93+((G94*G95)/G96))</f>
        <v>#REF!</v>
      </c>
      <c r="I98" s="74"/>
      <c r="J98" s="476" t="e">
        <f>IF(I96=0,0,I93+((I94*I95)/I96))</f>
        <v>#REF!</v>
      </c>
      <c r="K98" s="74"/>
      <c r="L98" s="476" t="e">
        <f>IF(K96=0,0,K93+((K94*K95)/K96))</f>
        <v>#REF!</v>
      </c>
      <c r="M98" s="73"/>
    </row>
    <row r="99" spans="1:13" x14ac:dyDescent="0.3">
      <c r="A99" s="446"/>
      <c r="B99" s="394" t="s">
        <v>359</v>
      </c>
      <c r="C99" s="461"/>
      <c r="D99" s="475" t="s">
        <v>339</v>
      </c>
      <c r="E99" s="393"/>
      <c r="F99" s="469"/>
      <c r="G99" s="74"/>
      <c r="H99" s="477" t="e">
        <f>((H102-H98)*0.25)+H98</f>
        <v>#REF!</v>
      </c>
      <c r="I99" s="74"/>
      <c r="J99" s="477" t="e">
        <f>((J102-J98)*0.25)+J98</f>
        <v>#REF!</v>
      </c>
      <c r="K99" s="74"/>
      <c r="L99" s="477" t="e">
        <f>((L102-L98)*0.25)+L98</f>
        <v>#REF!</v>
      </c>
      <c r="M99" s="73"/>
    </row>
    <row r="100" spans="1:13" x14ac:dyDescent="0.3">
      <c r="A100" s="446"/>
      <c r="B100" s="394"/>
      <c r="C100" s="461"/>
      <c r="D100" s="475" t="s">
        <v>340</v>
      </c>
      <c r="E100" s="393"/>
      <c r="F100" s="469"/>
      <c r="G100" s="74"/>
      <c r="H100" s="477" t="e">
        <f>(H102+H98)/2</f>
        <v>#REF!</v>
      </c>
      <c r="I100" s="74"/>
      <c r="J100" s="477" t="e">
        <f>(J102+J98)/2</f>
        <v>#REF!</v>
      </c>
      <c r="K100" s="74"/>
      <c r="L100" s="477" t="e">
        <f>(L102+L98)/2</f>
        <v>#REF!</v>
      </c>
      <c r="M100" s="73"/>
    </row>
    <row r="101" spans="1:13" x14ac:dyDescent="0.3">
      <c r="A101" s="446"/>
      <c r="B101" s="394" t="s">
        <v>360</v>
      </c>
      <c r="C101" s="461"/>
      <c r="D101" s="475" t="s">
        <v>341</v>
      </c>
      <c r="E101" s="393"/>
      <c r="F101" s="469"/>
      <c r="G101" s="74"/>
      <c r="H101" s="477" t="e">
        <f>((H102-H98)*0.75)+H98</f>
        <v>#REF!</v>
      </c>
      <c r="I101" s="74"/>
      <c r="J101" s="477" t="e">
        <f>((J102-J98)*0.75)+J98</f>
        <v>#REF!</v>
      </c>
      <c r="K101" s="74"/>
      <c r="L101" s="477" t="e">
        <f>((L102-L98)*0.75)+L98</f>
        <v>#REF!</v>
      </c>
      <c r="M101" s="73"/>
    </row>
    <row r="102" spans="1:13" ht="15.2" thickBot="1" x14ac:dyDescent="0.35">
      <c r="A102" s="446"/>
      <c r="B102" s="395"/>
      <c r="C102" s="461"/>
      <c r="D102" s="475" t="s">
        <v>342</v>
      </c>
      <c r="E102" s="393"/>
      <c r="F102" s="469"/>
      <c r="G102" s="74"/>
      <c r="H102" s="478" t="e">
        <f>IF(H96=0,0,H93+((H94*H95)/H96))</f>
        <v>#REF!</v>
      </c>
      <c r="I102" s="74"/>
      <c r="J102" s="478" t="e">
        <f>IF(J96=0,0,J93+((J94*J95)/J96))</f>
        <v>#REF!</v>
      </c>
      <c r="K102" s="74"/>
      <c r="L102" s="478" t="e">
        <f>IF(L96=0,0,L93+((L94*L95)/L96))</f>
        <v>#REF!</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t="e">
        <f>G64</f>
        <v>#REF!</v>
      </c>
      <c r="H105" s="480" t="e">
        <f>IF(G65="Basishonorarsatz",H98,IF(G65="Viertelsatz",H99,IF(G65="Mittelsatz",H100,IF(G65="Dreiviertelsatz",H101,H102))))</f>
        <v>#REF!</v>
      </c>
      <c r="I105" s="481" t="e">
        <f>G64</f>
        <v>#REF!</v>
      </c>
      <c r="J105" s="480" t="e">
        <f>IF(G65="Basishonorarsatz",J98,IF(G65="Viertelsatz",J99,IF(G65="Mittelsatz",J100,IF(G65="Dreiviertelsatz",J101,J102))))</f>
        <v>#REF!</v>
      </c>
      <c r="K105" s="481" t="e">
        <f>G64</f>
        <v>#REF!</v>
      </c>
      <c r="L105" s="480" t="e">
        <f>IF(G65="Basishonorarsatz",L98,IF(G65="Viertelsatz",L99,IF(G65="Mittelsatz",L100,IF(G65="Dreiviertelsatz",L101,L102))))</f>
        <v>#REF!</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t="e">
        <f>IF(#REF!="ja",#REF!,0)</f>
        <v>#REF!</v>
      </c>
      <c r="D109" s="1273"/>
      <c r="E109" s="1282" t="e">
        <f>IF(#REF!="ja",#REF!,0)</f>
        <v>#REF!</v>
      </c>
      <c r="F109" s="1273"/>
      <c r="G109" s="490" t="e">
        <f>C109*1.1+E109</f>
        <v>#REF!</v>
      </c>
    </row>
    <row r="110" spans="1:13" x14ac:dyDescent="0.3">
      <c r="B110" s="491">
        <v>2</v>
      </c>
      <c r="C110" s="1158" t="e">
        <f>IF(#REF!="ja",#REF!,0)</f>
        <v>#REF!</v>
      </c>
      <c r="D110" s="1159"/>
      <c r="E110" s="1275" t="e">
        <f>IF(#REF!="ja",#REF!,0)</f>
        <v>#REF!</v>
      </c>
      <c r="F110" s="1159"/>
      <c r="G110" s="490" t="e">
        <f t="shared" ref="G110:G122" si="5">C110*1.1+E110</f>
        <v>#REF!</v>
      </c>
    </row>
    <row r="111" spans="1:13" x14ac:dyDescent="0.3">
      <c r="B111" s="491">
        <v>3</v>
      </c>
      <c r="C111" s="1158" t="e">
        <f>IF(#REF!="ja",#REF!,0)</f>
        <v>#REF!</v>
      </c>
      <c r="D111" s="1159"/>
      <c r="E111" s="1275" t="e">
        <f>IF(#REF!="ja",#REF!,0)</f>
        <v>#REF!</v>
      </c>
      <c r="F111" s="1159"/>
      <c r="G111" s="490" t="e">
        <f t="shared" si="5"/>
        <v>#REF!</v>
      </c>
    </row>
    <row r="112" spans="1:13" x14ac:dyDescent="0.3">
      <c r="B112" s="491">
        <v>4</v>
      </c>
      <c r="C112" s="1158" t="e">
        <f>IF(#REF!="ja",#REF!,0)</f>
        <v>#REF!</v>
      </c>
      <c r="D112" s="1159"/>
      <c r="E112" s="1275" t="e">
        <f>IF(#REF!="ja",#REF!,0)</f>
        <v>#REF!</v>
      </c>
      <c r="F112" s="1159"/>
      <c r="G112" s="490" t="e">
        <f t="shared" si="5"/>
        <v>#REF!</v>
      </c>
    </row>
    <row r="113" spans="2:7" x14ac:dyDescent="0.3">
      <c r="B113" s="491" t="s">
        <v>371</v>
      </c>
      <c r="C113" s="1158" t="e">
        <f>IF(#REF!="ja",#REF!,0)</f>
        <v>#REF!</v>
      </c>
      <c r="D113" s="1159"/>
      <c r="E113" s="1275" t="e">
        <f>IF(#REF!="ja",#REF!+#REF!,0)</f>
        <v>#REF!</v>
      </c>
      <c r="F113" s="1159"/>
      <c r="G113" s="490" t="e">
        <f t="shared" si="5"/>
        <v>#REF!</v>
      </c>
    </row>
    <row r="114" spans="2:7" x14ac:dyDescent="0.3">
      <c r="B114" s="491" t="s">
        <v>372</v>
      </c>
      <c r="C114" s="1158" t="e">
        <f>IF(#REF!="ja",#REF!,0)</f>
        <v>#REF!</v>
      </c>
      <c r="D114" s="1159"/>
      <c r="E114" s="1275" t="e">
        <f>IF(#REF!="ja",#REF!+#REF!+#REF!+#REF!,0)</f>
        <v>#REF!</v>
      </c>
      <c r="F114" s="1159"/>
      <c r="G114" s="490" t="e">
        <f t="shared" si="5"/>
        <v>#REF!</v>
      </c>
    </row>
    <row r="115" spans="2:7" x14ac:dyDescent="0.3">
      <c r="B115" s="491" t="s">
        <v>373</v>
      </c>
      <c r="C115" s="1158" t="e">
        <f>IF(#REF!="ja",#REF!,0)</f>
        <v>#REF!</v>
      </c>
      <c r="D115" s="1159"/>
      <c r="E115" s="1275" t="e">
        <f>IF(#REF!="ja",#REF!,0)</f>
        <v>#REF!</v>
      </c>
      <c r="F115" s="1159"/>
      <c r="G115" s="490" t="e">
        <f t="shared" si="5"/>
        <v>#REF!</v>
      </c>
    </row>
    <row r="116" spans="2:7" x14ac:dyDescent="0.3">
      <c r="B116" s="491" t="s">
        <v>374</v>
      </c>
      <c r="C116" s="1158" t="e">
        <f>IF(#REF!="ja",#REF!,0)</f>
        <v>#REF!</v>
      </c>
      <c r="D116" s="1159"/>
      <c r="E116" s="1275" t="e">
        <f>IF(#REF!="ja",#REF!,0)</f>
        <v>#REF!</v>
      </c>
      <c r="F116" s="1159"/>
      <c r="G116" s="490" t="e">
        <f t="shared" si="5"/>
        <v>#REF!</v>
      </c>
    </row>
    <row r="117" spans="2:7" x14ac:dyDescent="0.3">
      <c r="B117" s="491" t="s">
        <v>375</v>
      </c>
      <c r="C117" s="1158" t="e">
        <f>IF(#REF!="ja",#REF!,0)</f>
        <v>#REF!</v>
      </c>
      <c r="D117" s="1159"/>
      <c r="E117" s="1275" t="e">
        <f>IF(#REF!="ja",#REF!+#REF!,0)</f>
        <v>#REF!</v>
      </c>
      <c r="F117" s="1159"/>
      <c r="G117" s="490" t="e">
        <f t="shared" si="5"/>
        <v>#REF!</v>
      </c>
    </row>
    <row r="118" spans="2:7" x14ac:dyDescent="0.3">
      <c r="B118" s="491" t="s">
        <v>376</v>
      </c>
      <c r="C118" s="1158" t="e">
        <f>IF(#REF!="ja",#REF!,0)</f>
        <v>#REF!</v>
      </c>
      <c r="D118" s="1159"/>
      <c r="E118" s="1275" t="e">
        <f>IF(#REF!="ja",#REF!,0)</f>
        <v>#REF!</v>
      </c>
      <c r="F118" s="1159"/>
      <c r="G118" s="490" t="e">
        <f t="shared" si="5"/>
        <v>#REF!</v>
      </c>
    </row>
    <row r="119" spans="2:7" x14ac:dyDescent="0.3">
      <c r="B119" s="492">
        <v>6</v>
      </c>
      <c r="C119" s="1158" t="e">
        <f>IF(#REF!="ja",#REF!,0)</f>
        <v>#REF!</v>
      </c>
      <c r="D119" s="1159"/>
      <c r="E119" s="1275" t="e">
        <f>IF(#REF!="ja",#REF!,0)</f>
        <v>#REF!</v>
      </c>
      <c r="F119" s="1159"/>
      <c r="G119" s="490" t="e">
        <f t="shared" si="5"/>
        <v>#REF!</v>
      </c>
    </row>
    <row r="120" spans="2:7" x14ac:dyDescent="0.3">
      <c r="B120" s="492">
        <v>7</v>
      </c>
      <c r="C120" s="1158" t="e">
        <f>IF(#REF!="ja",#REF!,0)</f>
        <v>#REF!</v>
      </c>
      <c r="D120" s="1159"/>
      <c r="E120" s="1275" t="e">
        <f>IF(#REF!="ja",#REF!,0)</f>
        <v>#REF!</v>
      </c>
      <c r="F120" s="1159"/>
      <c r="G120" s="490" t="e">
        <f t="shared" si="5"/>
        <v>#REF!</v>
      </c>
    </row>
    <row r="121" spans="2:7" x14ac:dyDescent="0.3">
      <c r="B121" s="492">
        <v>8</v>
      </c>
      <c r="C121" s="1158" t="e">
        <f>IF(#REF!="ja",#REF!,0)</f>
        <v>#REF!</v>
      </c>
      <c r="D121" s="1159"/>
      <c r="E121" s="1275" t="e">
        <f>IF(#REF!="ja",#REF!,0)</f>
        <v>#REF!</v>
      </c>
      <c r="F121" s="1159"/>
      <c r="G121" s="490" t="e">
        <f t="shared" si="5"/>
        <v>#REF!</v>
      </c>
    </row>
    <row r="122" spans="2:7" ht="15.2" thickBot="1" x14ac:dyDescent="0.35">
      <c r="B122" s="493">
        <v>9</v>
      </c>
      <c r="C122" s="1278" t="e">
        <f>IF(#REF!="ja",#REF!,0)</f>
        <v>#REF!</v>
      </c>
      <c r="D122" s="1279"/>
      <c r="E122" s="1280" t="e">
        <f>IF(#REF!="ja",#REF!,0)</f>
        <v>#REF!</v>
      </c>
      <c r="F122" s="1279"/>
      <c r="G122" s="490" t="e">
        <f t="shared" si="5"/>
        <v>#REF!</v>
      </c>
    </row>
    <row r="123" spans="2:7" ht="15.2" thickBot="1" x14ac:dyDescent="0.35">
      <c r="B123" s="494" t="s">
        <v>476</v>
      </c>
      <c r="C123" s="1216" t="e">
        <f>SUM(C109:D122)</f>
        <v>#REF!</v>
      </c>
      <c r="D123" s="1217"/>
      <c r="E123" s="1220" t="e">
        <f>SUM(E109:F122)</f>
        <v>#REF!</v>
      </c>
      <c r="F123" s="1221"/>
    </row>
    <row r="124" spans="2:7" ht="15.2" thickBot="1" x14ac:dyDescent="0.35"/>
    <row r="125" spans="2:7" ht="15.2" thickBot="1" x14ac:dyDescent="0.35">
      <c r="B125" s="495" t="s">
        <v>380</v>
      </c>
      <c r="C125" s="1250" t="e">
        <f>C123*#REF!+C123</f>
        <v>#REF!</v>
      </c>
      <c r="D125" s="1251"/>
      <c r="E125" s="1250" t="e">
        <f>#REF!</f>
        <v>#REF!</v>
      </c>
      <c r="F125" s="1251"/>
    </row>
    <row r="128" spans="2:7" x14ac:dyDescent="0.3">
      <c r="B128" s="384" t="s">
        <v>479</v>
      </c>
      <c r="D128" s="496">
        <f>Überblick!G97</f>
        <v>0.19</v>
      </c>
    </row>
    <row r="130" spans="2:17" ht="15.2" thickBot="1" x14ac:dyDescent="0.35">
      <c r="B130" s="495" t="s">
        <v>478</v>
      </c>
      <c r="C130" s="1250" t="e">
        <f>C125*D128+C125</f>
        <v>#REF!</v>
      </c>
      <c r="D130" s="1251"/>
      <c r="E130" s="1250" t="e">
        <f>E125*D128+E125</f>
        <v>#REF!</v>
      </c>
      <c r="F130" s="1251"/>
    </row>
    <row r="132" spans="2:17" x14ac:dyDescent="0.3">
      <c r="B132" s="384" t="s">
        <v>480</v>
      </c>
      <c r="E132" s="1248" t="e">
        <f>C130+E130</f>
        <v>#REF!</v>
      </c>
      <c r="F132" s="1249"/>
    </row>
    <row r="133" spans="2:17" ht="15.2" thickBot="1" x14ac:dyDescent="0.35"/>
    <row r="134" spans="2:17" x14ac:dyDescent="0.3">
      <c r="B134" s="580" t="s">
        <v>115</v>
      </c>
      <c r="C134" s="547" t="s">
        <v>306</v>
      </c>
      <c r="D134" s="581" t="s">
        <v>307</v>
      </c>
      <c r="E134" s="581" t="s">
        <v>308</v>
      </c>
      <c r="F134" s="581" t="s">
        <v>309</v>
      </c>
      <c r="G134" s="581" t="s">
        <v>310</v>
      </c>
      <c r="H134" s="581" t="s">
        <v>311</v>
      </c>
      <c r="I134" s="581" t="s">
        <v>312</v>
      </c>
      <c r="J134" s="581" t="s">
        <v>313</v>
      </c>
      <c r="K134" s="581" t="s">
        <v>314</v>
      </c>
      <c r="L134" s="581" t="s">
        <v>315</v>
      </c>
      <c r="M134" s="581" t="s">
        <v>316</v>
      </c>
      <c r="N134" s="581" t="s">
        <v>317</v>
      </c>
      <c r="O134" s="581" t="s">
        <v>318</v>
      </c>
      <c r="P134" s="581" t="s">
        <v>379</v>
      </c>
      <c r="Q134" s="582" t="s">
        <v>380</v>
      </c>
    </row>
    <row r="135" spans="2:17" x14ac:dyDescent="0.3">
      <c r="B135" s="577">
        <f>IF(Überblick!$H$53&gt;=1,1,"")</f>
        <v>1</v>
      </c>
      <c r="C135" s="507" t="e">
        <f>IF($B135=#REF!,#REF!*#REF!+#REF!+#REF!,0)</f>
        <v>#REF!</v>
      </c>
      <c r="D135" s="507" t="e">
        <f>IF($B135=#REF!,#REF!*#REF!+#REF!+#REF!,0)</f>
        <v>#REF!</v>
      </c>
      <c r="E135" s="507" t="e">
        <f>IF($B135=#REF!,#REF!*#REF!+#REF!+#REF!,0)</f>
        <v>#REF!</v>
      </c>
      <c r="F135" s="507" t="e">
        <f>IF($B135=#REF!,#REF!*#REF!+#REF!+#REF!,0)</f>
        <v>#REF!</v>
      </c>
      <c r="G135" s="507" t="e">
        <f>IF($B135=#REF!,#REF!*#REF!+#REF!+#REF!+#REF!,0)</f>
        <v>#REF!</v>
      </c>
      <c r="H135" s="507" t="e">
        <f>IF($B135=#REF!,#REF!*#REF!+#REF!+#REF!+#REF!+#REF!+#REF!,0)</f>
        <v>#REF!</v>
      </c>
      <c r="I135" s="507" t="e">
        <f>IF($B135=#REF!,#REF!*#REF!+#REF!+#REF!,0)</f>
        <v>#REF!</v>
      </c>
      <c r="J135" s="507" t="e">
        <f>IF($B135=#REF!,#REF!*#REF!+#REF!+#REF!,0)</f>
        <v>#REF!</v>
      </c>
      <c r="K135" s="507" t="e">
        <f>IF($B135=#REF!,#REF!*#REF!+#REF!+#REF!+#REF!,0)</f>
        <v>#REF!</v>
      </c>
      <c r="L135" s="507" t="e">
        <f>IF($B135=#REF!,#REF!*#REF!+#REF!+#REF!,0)</f>
        <v>#REF!</v>
      </c>
      <c r="M135" s="507" t="e">
        <f>IF($B135=#REF!,#REF!*#REF!+#REF!+#REF!,0)</f>
        <v>#REF!</v>
      </c>
      <c r="N135" s="507" t="e">
        <f>IF($B135=#REF!,#REF!*#REF!+#REF!+#REF!,0)</f>
        <v>#REF!</v>
      </c>
      <c r="O135" s="507" t="e">
        <f>IF($B135=#REF!,#REF!*#REF!+#REF!+#REF!,0)</f>
        <v>#REF!</v>
      </c>
      <c r="P135" s="507" t="e">
        <f>IF($B135=#REF!,#REF!*#REF!+#REF!+#REF!,0)</f>
        <v>#REF!</v>
      </c>
      <c r="Q135" s="508" t="e">
        <f>SUM(C135:P135)</f>
        <v>#REF!</v>
      </c>
    </row>
    <row r="136" spans="2:17" x14ac:dyDescent="0.3">
      <c r="B136" s="577">
        <f>IF(Überblick!$H$53&gt;=2,2,"")</f>
        <v>2</v>
      </c>
      <c r="C136" s="507" t="e">
        <f>IF($B136=#REF!,#REF!*#REF!+#REF!+#REF!,0)</f>
        <v>#REF!</v>
      </c>
      <c r="D136" s="507" t="e">
        <f>IF($B136=#REF!,#REF!*#REF!+#REF!+#REF!,0)</f>
        <v>#REF!</v>
      </c>
      <c r="E136" s="507" t="e">
        <f>IF($B136=#REF!,#REF!*#REF!+#REF!+#REF!,0)</f>
        <v>#REF!</v>
      </c>
      <c r="F136" s="507" t="e">
        <f>IF($B136=#REF!,#REF!*#REF!+#REF!+#REF!,0)</f>
        <v>#REF!</v>
      </c>
      <c r="G136" s="507" t="e">
        <f>IF($B136=#REF!,#REF!*#REF!+#REF!+#REF!+#REF!,0)</f>
        <v>#REF!</v>
      </c>
      <c r="H136" s="507" t="e">
        <f>IF($B136=#REF!,#REF!*#REF!+#REF!+#REF!+#REF!+#REF!+#REF!,0)</f>
        <v>#REF!</v>
      </c>
      <c r="I136" s="507" t="e">
        <f>IF($B136=#REF!,#REF!*#REF!+#REF!+#REF!,0)</f>
        <v>#REF!</v>
      </c>
      <c r="J136" s="507" t="e">
        <f>IF($B136=#REF!,#REF!*#REF!+#REF!+#REF!,0)</f>
        <v>#REF!</v>
      </c>
      <c r="K136" s="507" t="e">
        <f>IF($B136=#REF!,#REF!*#REF!+#REF!+#REF!+#REF!,0)</f>
        <v>#REF!</v>
      </c>
      <c r="L136" s="507" t="e">
        <f>IF($B136=#REF!,#REF!*#REF!+#REF!+#REF!,0)</f>
        <v>#REF!</v>
      </c>
      <c r="M136" s="507" t="e">
        <f>IF($B136=#REF!,#REF!*#REF!+#REF!+#REF!,0)</f>
        <v>#REF!</v>
      </c>
      <c r="N136" s="507" t="e">
        <f>IF($B136=#REF!,#REF!*#REF!+#REF!+#REF!,0)</f>
        <v>#REF!</v>
      </c>
      <c r="O136" s="507" t="e">
        <f>IF($B136=#REF!,#REF!*#REF!+#REF!+#REF!,0)</f>
        <v>#REF!</v>
      </c>
      <c r="P136" s="507" t="e">
        <f>IF($B136=#REF!,#REF!*#REF!+#REF!+#REF!,0)</f>
        <v>#REF!</v>
      </c>
      <c r="Q136" s="508" t="e">
        <f t="shared" ref="Q136:Q142" si="6">SUM(C136:P136)</f>
        <v>#REF!</v>
      </c>
    </row>
    <row r="137" spans="2:17" x14ac:dyDescent="0.3">
      <c r="B137" s="577">
        <f>IF(Überblick!$H$53&gt;=3,3,"")</f>
        <v>3</v>
      </c>
      <c r="C137" s="507" t="e">
        <f>IF($B137=#REF!,#REF!*#REF!+#REF!+#REF!,0)</f>
        <v>#REF!</v>
      </c>
      <c r="D137" s="507" t="e">
        <f>IF($B137=#REF!,#REF!*#REF!+#REF!+#REF!,0)</f>
        <v>#REF!</v>
      </c>
      <c r="E137" s="507" t="e">
        <f>IF($B137=#REF!,#REF!*#REF!+#REF!+#REF!,0)</f>
        <v>#REF!</v>
      </c>
      <c r="F137" s="507" t="e">
        <f>IF($B137=#REF!,#REF!*#REF!+#REF!+#REF!,0)</f>
        <v>#REF!</v>
      </c>
      <c r="G137" s="507" t="e">
        <f>IF($B137=#REF!,#REF!*#REF!+#REF!+#REF!+#REF!,0)</f>
        <v>#REF!</v>
      </c>
      <c r="H137" s="507" t="e">
        <f>IF($B137=#REF!,#REF!*#REF!+#REF!+#REF!+#REF!+#REF!+#REF!,0)</f>
        <v>#REF!</v>
      </c>
      <c r="I137" s="507" t="e">
        <f>IF($B137=#REF!,#REF!*#REF!+#REF!+#REF!,0)</f>
        <v>#REF!</v>
      </c>
      <c r="J137" s="507" t="e">
        <f>IF($B137=#REF!,#REF!*#REF!+#REF!+#REF!,0)</f>
        <v>#REF!</v>
      </c>
      <c r="K137" s="507" t="e">
        <f>IF($B137=#REF!,#REF!*#REF!+#REF!+#REF!+#REF!,0)</f>
        <v>#REF!</v>
      </c>
      <c r="L137" s="507" t="e">
        <f>IF($B137=#REF!,#REF!*#REF!+#REF!+#REF!,0)</f>
        <v>#REF!</v>
      </c>
      <c r="M137" s="507" t="e">
        <f>IF($B137=#REF!,#REF!*#REF!+#REF!+#REF!,0)</f>
        <v>#REF!</v>
      </c>
      <c r="N137" s="507" t="e">
        <f>IF($B137=#REF!,#REF!*#REF!+#REF!+#REF!,0)</f>
        <v>#REF!</v>
      </c>
      <c r="O137" s="507" t="e">
        <f>IF($B137=#REF!,#REF!*#REF!+#REF!+#REF!,0)</f>
        <v>#REF!</v>
      </c>
      <c r="P137" s="507" t="e">
        <f>IF($B137=#REF!,#REF!*#REF!+#REF!+#REF!,0)</f>
        <v>#REF!</v>
      </c>
      <c r="Q137" s="508" t="e">
        <f t="shared" si="6"/>
        <v>#REF!</v>
      </c>
    </row>
    <row r="138" spans="2:17" x14ac:dyDescent="0.3">
      <c r="B138" s="577" t="str">
        <f>IF(Überblick!$H$53&gt;=4,4,"")</f>
        <v/>
      </c>
      <c r="C138" s="507" t="e">
        <f>IF($B138=#REF!,#REF!*#REF!+#REF!+#REF!,0)</f>
        <v>#REF!</v>
      </c>
      <c r="D138" s="507" t="e">
        <f>IF($B138=#REF!,#REF!*#REF!+#REF!+#REF!,0)</f>
        <v>#REF!</v>
      </c>
      <c r="E138" s="507" t="e">
        <f>IF($B138=#REF!,#REF!*#REF!+#REF!+#REF!,0)</f>
        <v>#REF!</v>
      </c>
      <c r="F138" s="507" t="e">
        <f>IF($B138=#REF!,#REF!*#REF!+#REF!+#REF!,0)</f>
        <v>#REF!</v>
      </c>
      <c r="G138" s="507" t="e">
        <f>IF($B138=#REF!,#REF!*#REF!+#REF!+#REF!+#REF!,0)</f>
        <v>#REF!</v>
      </c>
      <c r="H138" s="507" t="e">
        <f>IF($B138=#REF!,#REF!*#REF!+#REF!+#REF!+#REF!+#REF!+#REF!,0)</f>
        <v>#REF!</v>
      </c>
      <c r="I138" s="507" t="e">
        <f>IF($B138=#REF!,#REF!*#REF!+#REF!+#REF!,0)</f>
        <v>#REF!</v>
      </c>
      <c r="J138" s="507" t="e">
        <f>IF($B138=#REF!,#REF!*#REF!+#REF!+#REF!,0)</f>
        <v>#REF!</v>
      </c>
      <c r="K138" s="507" t="e">
        <f>IF($B138=#REF!,#REF!*#REF!+#REF!+#REF!+#REF!,0)</f>
        <v>#REF!</v>
      </c>
      <c r="L138" s="507" t="e">
        <f>IF($B138=#REF!,#REF!*#REF!+#REF!+#REF!,0)</f>
        <v>#REF!</v>
      </c>
      <c r="M138" s="507" t="e">
        <f>IF($B138=#REF!,#REF!*#REF!+#REF!+#REF!,0)</f>
        <v>#REF!</v>
      </c>
      <c r="N138" s="507" t="e">
        <f>IF($B138=#REF!,#REF!*#REF!+#REF!+#REF!,0)</f>
        <v>#REF!</v>
      </c>
      <c r="O138" s="507" t="e">
        <f>IF($B138=#REF!,#REF!*#REF!+#REF!+#REF!,0)</f>
        <v>#REF!</v>
      </c>
      <c r="P138" s="507" t="e">
        <f>IF($B138=#REF!,#REF!*#REF!+#REF!+#REF!,0)</f>
        <v>#REF!</v>
      </c>
      <c r="Q138" s="508" t="e">
        <f t="shared" si="6"/>
        <v>#REF!</v>
      </c>
    </row>
    <row r="139" spans="2:17" x14ac:dyDescent="0.3">
      <c r="B139" s="577" t="str">
        <f>IF(Überblick!$H$53&gt;=5,5,"")</f>
        <v/>
      </c>
      <c r="C139" s="507" t="e">
        <f>IF($B139=#REF!,#REF!*#REF!+#REF!+#REF!,0)</f>
        <v>#REF!</v>
      </c>
      <c r="D139" s="507" t="e">
        <f>IF($B139=#REF!,#REF!*#REF!+#REF!+#REF!,0)</f>
        <v>#REF!</v>
      </c>
      <c r="E139" s="507" t="e">
        <f>IF($B139=#REF!,#REF!*#REF!+#REF!+#REF!,0)</f>
        <v>#REF!</v>
      </c>
      <c r="F139" s="507" t="e">
        <f>IF($B139=#REF!,#REF!*#REF!+#REF!+#REF!,0)</f>
        <v>#REF!</v>
      </c>
      <c r="G139" s="507" t="e">
        <f>IF($B139=#REF!,#REF!*#REF!+#REF!+#REF!+#REF!,0)</f>
        <v>#REF!</v>
      </c>
      <c r="H139" s="507" t="e">
        <f>IF($B139=#REF!,#REF!*#REF!+#REF!+#REF!+#REF!+#REF!+#REF!,0)</f>
        <v>#REF!</v>
      </c>
      <c r="I139" s="507" t="e">
        <f>IF($B139=#REF!,#REF!*#REF!+#REF!+#REF!,0)</f>
        <v>#REF!</v>
      </c>
      <c r="J139" s="507" t="e">
        <f>IF($B139=#REF!,#REF!*#REF!+#REF!+#REF!,0)</f>
        <v>#REF!</v>
      </c>
      <c r="K139" s="507" t="e">
        <f>IF($B139=#REF!,#REF!*#REF!+#REF!+#REF!+#REF!,0)</f>
        <v>#REF!</v>
      </c>
      <c r="L139" s="507" t="e">
        <f>IF($B139=#REF!,#REF!*#REF!+#REF!+#REF!,0)</f>
        <v>#REF!</v>
      </c>
      <c r="M139" s="507" t="e">
        <f>IF($B139=#REF!,#REF!*#REF!+#REF!+#REF!,0)</f>
        <v>#REF!</v>
      </c>
      <c r="N139" s="507" t="e">
        <f>IF($B139=#REF!,#REF!*#REF!+#REF!+#REF!,0)</f>
        <v>#REF!</v>
      </c>
      <c r="O139" s="507" t="e">
        <f>IF($B139=#REF!,#REF!*#REF!+#REF!+#REF!,0)</f>
        <v>#REF!</v>
      </c>
      <c r="P139" s="507" t="e">
        <f>IF($B139=#REF!,#REF!*#REF!+#REF!+#REF!,0)</f>
        <v>#REF!</v>
      </c>
      <c r="Q139" s="508" t="e">
        <f t="shared" si="6"/>
        <v>#REF!</v>
      </c>
    </row>
    <row r="140" spans="2:17" x14ac:dyDescent="0.3">
      <c r="B140" s="577" t="str">
        <f>IF(Überblick!$H$53&gt;=6,6,"")</f>
        <v/>
      </c>
      <c r="C140" s="507" t="e">
        <f>IF($B140=#REF!,#REF!*#REF!+#REF!+#REF!,0)</f>
        <v>#REF!</v>
      </c>
      <c r="D140" s="507" t="e">
        <f>IF($B140=#REF!,#REF!*#REF!+#REF!+#REF!,0)</f>
        <v>#REF!</v>
      </c>
      <c r="E140" s="507" t="e">
        <f>IF($B140=#REF!,#REF!*#REF!+#REF!+#REF!,0)</f>
        <v>#REF!</v>
      </c>
      <c r="F140" s="507" t="e">
        <f>IF($B140=#REF!,#REF!*#REF!+#REF!+#REF!,0)</f>
        <v>#REF!</v>
      </c>
      <c r="G140" s="507" t="e">
        <f>IF($B140=#REF!,#REF!*#REF!+#REF!+#REF!+#REF!,0)</f>
        <v>#REF!</v>
      </c>
      <c r="H140" s="507" t="e">
        <f>IF($B140=#REF!,#REF!*#REF!+#REF!+#REF!+#REF!+#REF!+#REF!,0)</f>
        <v>#REF!</v>
      </c>
      <c r="I140" s="507" t="e">
        <f>IF($B140=#REF!,#REF!*#REF!+#REF!+#REF!,0)</f>
        <v>#REF!</v>
      </c>
      <c r="J140" s="507" t="e">
        <f>IF($B140=#REF!,#REF!*#REF!+#REF!+#REF!,0)</f>
        <v>#REF!</v>
      </c>
      <c r="K140" s="507" t="e">
        <f>IF($B140=#REF!,#REF!*#REF!+#REF!+#REF!+#REF!,0)</f>
        <v>#REF!</v>
      </c>
      <c r="L140" s="507" t="e">
        <f>IF($B140=#REF!,#REF!*#REF!+#REF!+#REF!,0)</f>
        <v>#REF!</v>
      </c>
      <c r="M140" s="507" t="e">
        <f>IF($B140=#REF!,#REF!*#REF!+#REF!+#REF!,0)</f>
        <v>#REF!</v>
      </c>
      <c r="N140" s="507" t="e">
        <f>IF($B140=#REF!,#REF!*#REF!+#REF!+#REF!,0)</f>
        <v>#REF!</v>
      </c>
      <c r="O140" s="507" t="e">
        <f>IF($B140=#REF!,#REF!*#REF!+#REF!+#REF!,0)</f>
        <v>#REF!</v>
      </c>
      <c r="P140" s="507" t="e">
        <f>IF($B140=#REF!,#REF!*#REF!+#REF!+#REF!,0)</f>
        <v>#REF!</v>
      </c>
      <c r="Q140" s="508" t="e">
        <f t="shared" si="6"/>
        <v>#REF!</v>
      </c>
    </row>
    <row r="141" spans="2:17" x14ac:dyDescent="0.3">
      <c r="B141" s="577" t="str">
        <f>IF(Überblick!$H$53&gt;=7,7,"")</f>
        <v/>
      </c>
      <c r="C141" s="507" t="e">
        <f>IF($B141=#REF!,#REF!*#REF!+#REF!+#REF!,0)</f>
        <v>#REF!</v>
      </c>
      <c r="D141" s="507" t="e">
        <f>IF($B141=#REF!,#REF!*#REF!+#REF!+#REF!,0)</f>
        <v>#REF!</v>
      </c>
      <c r="E141" s="507" t="e">
        <f>IF($B141=#REF!,#REF!*#REF!+#REF!+#REF!,0)</f>
        <v>#REF!</v>
      </c>
      <c r="F141" s="507" t="e">
        <f>IF($B141=#REF!,#REF!*#REF!+#REF!+#REF!,0)</f>
        <v>#REF!</v>
      </c>
      <c r="G141" s="507" t="e">
        <f>IF($B141=#REF!,#REF!*#REF!+#REF!+#REF!+#REF!,0)</f>
        <v>#REF!</v>
      </c>
      <c r="H141" s="507" t="e">
        <f>IF($B141=#REF!,#REF!*#REF!+#REF!+#REF!+#REF!+#REF!+#REF!,0)</f>
        <v>#REF!</v>
      </c>
      <c r="I141" s="507" t="e">
        <f>IF($B141=#REF!,#REF!*#REF!+#REF!+#REF!,0)</f>
        <v>#REF!</v>
      </c>
      <c r="J141" s="507" t="e">
        <f>IF($B141=#REF!,#REF!*#REF!+#REF!+#REF!,0)</f>
        <v>#REF!</v>
      </c>
      <c r="K141" s="507" t="e">
        <f>IF($B141=#REF!,#REF!*#REF!+#REF!+#REF!+#REF!,0)</f>
        <v>#REF!</v>
      </c>
      <c r="L141" s="507" t="e">
        <f>IF($B141=#REF!,#REF!*#REF!+#REF!+#REF!,0)</f>
        <v>#REF!</v>
      </c>
      <c r="M141" s="507" t="e">
        <f>IF($B141=#REF!,#REF!*#REF!+#REF!+#REF!,0)</f>
        <v>#REF!</v>
      </c>
      <c r="N141" s="507" t="e">
        <f>IF($B141=#REF!,#REF!*#REF!+#REF!+#REF!,0)</f>
        <v>#REF!</v>
      </c>
      <c r="O141" s="507" t="e">
        <f>IF($B141=#REF!,#REF!*#REF!+#REF!+#REF!,0)</f>
        <v>#REF!</v>
      </c>
      <c r="P141" s="507" t="e">
        <f>IF($B141=#REF!,#REF!*#REF!+#REF!+#REF!,0)</f>
        <v>#REF!</v>
      </c>
      <c r="Q141" s="508" t="e">
        <f t="shared" si="6"/>
        <v>#REF!</v>
      </c>
    </row>
    <row r="142" spans="2:17" x14ac:dyDescent="0.3">
      <c r="B142" s="577" t="str">
        <f>IF(Überblick!$H$53&gt;=8,8,"")</f>
        <v/>
      </c>
      <c r="C142" s="507" t="e">
        <f>IF($B142=#REF!,#REF!*#REF!+#REF!+#REF!,0)</f>
        <v>#REF!</v>
      </c>
      <c r="D142" s="507" t="e">
        <f>IF($B142=#REF!,#REF!*#REF!+#REF!+#REF!,0)</f>
        <v>#REF!</v>
      </c>
      <c r="E142" s="507" t="e">
        <f>IF($B142=#REF!,#REF!*#REF!+#REF!+#REF!,0)</f>
        <v>#REF!</v>
      </c>
      <c r="F142" s="507" t="e">
        <f>IF($B142=#REF!,#REF!*#REF!+#REF!+#REF!,0)</f>
        <v>#REF!</v>
      </c>
      <c r="G142" s="507" t="e">
        <f>IF($B142=#REF!,#REF!*#REF!+#REF!+#REF!+#REF!,0)</f>
        <v>#REF!</v>
      </c>
      <c r="H142" s="507" t="e">
        <f>IF($B142=#REF!,#REF!*#REF!+#REF!+#REF!+#REF!+#REF!+#REF!,0)</f>
        <v>#REF!</v>
      </c>
      <c r="I142" s="507" t="e">
        <f>IF($B142=#REF!,#REF!*#REF!+#REF!+#REF!,0)</f>
        <v>#REF!</v>
      </c>
      <c r="J142" s="507" t="e">
        <f>IF($B142=#REF!,#REF!*#REF!+#REF!+#REF!,0)</f>
        <v>#REF!</v>
      </c>
      <c r="K142" s="507" t="e">
        <f>IF($B142=#REF!,#REF!*#REF!+#REF!+#REF!+#REF!,0)</f>
        <v>#REF!</v>
      </c>
      <c r="L142" s="507" t="e">
        <f>IF($B142=#REF!,#REF!*#REF!+#REF!+#REF!,0)</f>
        <v>#REF!</v>
      </c>
      <c r="M142" s="507" t="e">
        <f>IF($B142=#REF!,#REF!*#REF!+#REF!+#REF!,0)</f>
        <v>#REF!</v>
      </c>
      <c r="N142" s="507" t="e">
        <f>IF($B142=#REF!,#REF!*#REF!+#REF!+#REF!,0)</f>
        <v>#REF!</v>
      </c>
      <c r="O142" s="507" t="e">
        <f>IF($B142=#REF!,#REF!*#REF!+#REF!+#REF!,0)</f>
        <v>#REF!</v>
      </c>
      <c r="P142" s="507" t="e">
        <f>IF($B142=#REF!,#REF!*#REF!+#REF!+#REF!,0)</f>
        <v>#REF!</v>
      </c>
      <c r="Q142" s="508" t="e">
        <f t="shared" si="6"/>
        <v>#REF!</v>
      </c>
    </row>
    <row r="143" spans="2:17" ht="15.2" thickBot="1" x14ac:dyDescent="0.35">
      <c r="B143" s="573" t="str">
        <f>IF(Überblick!$H$53&gt;=9,9,"")</f>
        <v/>
      </c>
      <c r="C143" s="511" t="e">
        <f>IF($B143=#REF!,#REF!*#REF!+#REF!+#REF!,0)</f>
        <v>#REF!</v>
      </c>
      <c r="D143" s="511" t="e">
        <f>IF($B143=#REF!,#REF!*#REF!+#REF!+#REF!,0)</f>
        <v>#REF!</v>
      </c>
      <c r="E143" s="511" t="e">
        <f>IF($B143=#REF!,#REF!*#REF!+#REF!+#REF!,0)</f>
        <v>#REF!</v>
      </c>
      <c r="F143" s="511" t="e">
        <f>IF($B143=#REF!,#REF!*#REF!+#REF!+#REF!,0)</f>
        <v>#REF!</v>
      </c>
      <c r="G143" s="511" t="e">
        <f>IF($B143=#REF!,#REF!*#REF!+#REF!+#REF!+#REF!,0)</f>
        <v>#REF!</v>
      </c>
      <c r="H143" s="511" t="e">
        <f>IF($B143=#REF!,#REF!*#REF!+#REF!+#REF!+#REF!+#REF!+#REF!,0)</f>
        <v>#REF!</v>
      </c>
      <c r="I143" s="511" t="e">
        <f>IF($B143=#REF!,#REF!*#REF!+#REF!+#REF!,0)</f>
        <v>#REF!</v>
      </c>
      <c r="J143" s="511" t="e">
        <f>IF($B143=#REF!,#REF!*#REF!+#REF!+#REF!,0)</f>
        <v>#REF!</v>
      </c>
      <c r="K143" s="511" t="e">
        <f>IF($B143=#REF!,#REF!*#REF!+#REF!+#REF!+#REF!,0)</f>
        <v>#REF!</v>
      </c>
      <c r="L143" s="511" t="e">
        <f>IF($B143=#REF!,#REF!*#REF!+#REF!+#REF!,0)</f>
        <v>#REF!</v>
      </c>
      <c r="M143" s="511" t="e">
        <f>IF($B143=#REF!,#REF!*#REF!+#REF!+#REF!,0)</f>
        <v>#REF!</v>
      </c>
      <c r="N143" s="511" t="e">
        <f>IF($B143=#REF!,#REF!*#REF!+#REF!+#REF!,0)</f>
        <v>#REF!</v>
      </c>
      <c r="O143" s="511" t="e">
        <f>IF($B143=#REF!,#REF!*#REF!+#REF!+#REF!,0)</f>
        <v>#REF!</v>
      </c>
      <c r="P143" s="511" t="e">
        <f>IF($B143=#REF!,#REF!*#REF!+#REF!+#REF!,0)</f>
        <v>#REF!</v>
      </c>
      <c r="Q143" s="512" t="e">
        <f t="shared" ref="Q143" si="7">SUM(C143:P143)</f>
        <v>#REF!</v>
      </c>
    </row>
    <row r="144" spans="2:17" x14ac:dyDescent="0.3">
      <c r="Q144" s="513" t="e">
        <f>SUM(Q135:Q143)</f>
        <v>#REF!</v>
      </c>
    </row>
    <row r="156" spans="2:4" x14ac:dyDescent="0.3">
      <c r="B156" s="514"/>
      <c r="C156" s="515"/>
      <c r="D156" s="516"/>
    </row>
  </sheetData>
  <mergeCells count="84">
    <mergeCell ref="E132:F132"/>
    <mergeCell ref="C123:D123"/>
    <mergeCell ref="E123:F123"/>
    <mergeCell ref="C125:D125"/>
    <mergeCell ref="E125:F125"/>
    <mergeCell ref="C130:D130"/>
    <mergeCell ref="E130:F130"/>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14:D114"/>
    <mergeCell ref="E114:F114"/>
    <mergeCell ref="C115:D115"/>
    <mergeCell ref="E115:F115"/>
    <mergeCell ref="C116:D116"/>
    <mergeCell ref="E116:F116"/>
    <mergeCell ref="C111:D111"/>
    <mergeCell ref="E111:F111"/>
    <mergeCell ref="C112:D112"/>
    <mergeCell ref="E112:F112"/>
    <mergeCell ref="C113:D113"/>
    <mergeCell ref="E113:F113"/>
    <mergeCell ref="C110:D110"/>
    <mergeCell ref="E110:F110"/>
    <mergeCell ref="B95:E95"/>
    <mergeCell ref="B96:E96"/>
    <mergeCell ref="G104:H104"/>
    <mergeCell ref="C107:F107"/>
    <mergeCell ref="C108:D108"/>
    <mergeCell ref="E108:F108"/>
    <mergeCell ref="C109:D109"/>
    <mergeCell ref="E109:F109"/>
    <mergeCell ref="I104:J104"/>
    <mergeCell ref="K104:L104"/>
    <mergeCell ref="B105:E105"/>
    <mergeCell ref="B85:E85"/>
    <mergeCell ref="B86:E86"/>
    <mergeCell ref="B87:E87"/>
    <mergeCell ref="B88:E88"/>
    <mergeCell ref="B93:E93"/>
    <mergeCell ref="B94:E94"/>
    <mergeCell ref="E76:E77"/>
    <mergeCell ref="B64:E64"/>
    <mergeCell ref="G64:H64"/>
    <mergeCell ref="J64:K64"/>
    <mergeCell ref="B65:E65"/>
    <mergeCell ref="G65:H65"/>
    <mergeCell ref="J65:K65"/>
    <mergeCell ref="G69:H69"/>
    <mergeCell ref="I69:J69"/>
    <mergeCell ref="K69:L69"/>
    <mergeCell ref="E70:E71"/>
    <mergeCell ref="D76:D80"/>
    <mergeCell ref="D70:D74"/>
    <mergeCell ref="G50:H50"/>
    <mergeCell ref="J50:K50"/>
    <mergeCell ref="G52:G54"/>
    <mergeCell ref="G56:G60"/>
    <mergeCell ref="B62:E62"/>
    <mergeCell ref="G62:H62"/>
    <mergeCell ref="I62:J62"/>
    <mergeCell ref="K62:L62"/>
    <mergeCell ref="I2:J2"/>
    <mergeCell ref="C3:D3"/>
    <mergeCell ref="F3:G3"/>
    <mergeCell ref="I3:J3"/>
    <mergeCell ref="C5:D5"/>
    <mergeCell ref="F5:G5"/>
    <mergeCell ref="I5:J5"/>
    <mergeCell ref="B26:B44"/>
    <mergeCell ref="E26:E44"/>
    <mergeCell ref="H26:H44"/>
    <mergeCell ref="A2:A5"/>
    <mergeCell ref="C2:D2"/>
    <mergeCell ref="F2:G2"/>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6D3C-BF27-4680-BA57-7DEF3C723B36}">
  <sheetPr codeName="Tabelle5">
    <tabColor rgb="FFFFC000"/>
  </sheetPr>
  <dimension ref="A1:Q156"/>
  <sheetViews>
    <sheetView workbookViewId="0"/>
  </sheetViews>
  <sheetFormatPr baseColWidth="10" defaultColWidth="11.44140625" defaultRowHeight="14.55" x14ac:dyDescent="0.3"/>
  <cols>
    <col min="1" max="1" width="12.6640625" style="384" bestFit="1" customWidth="1"/>
    <col min="2" max="2" width="11.5546875" style="384" bestFit="1" customWidth="1"/>
    <col min="3" max="4" width="11.6640625" style="384" bestFit="1" customWidth="1"/>
    <col min="5" max="5" width="11.5546875" style="384" bestFit="1" customWidth="1"/>
    <col min="6" max="7" width="11.6640625" style="384" bestFit="1" customWidth="1"/>
    <col min="8" max="8" width="15" style="384" bestFit="1" customWidth="1"/>
    <col min="9" max="9" width="11.6640625" style="384" bestFit="1" customWidth="1"/>
    <col min="10" max="12" width="12" style="384" bestFit="1" customWidth="1"/>
    <col min="13" max="16" width="11.5546875" style="384" bestFit="1" customWidth="1"/>
    <col min="17" max="17" width="12"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ht="15" customHeight="1" x14ac:dyDescent="0.3">
      <c r="A2" s="1195" t="s">
        <v>321</v>
      </c>
      <c r="B2" s="390"/>
      <c r="C2" s="1200" t="s">
        <v>322</v>
      </c>
      <c r="D2" s="1201"/>
      <c r="E2" s="390"/>
      <c r="F2" s="1200" t="s">
        <v>323</v>
      </c>
      <c r="G2" s="1201"/>
      <c r="H2" s="390"/>
      <c r="I2" s="1200" t="s">
        <v>324</v>
      </c>
      <c r="J2" s="1201"/>
    </row>
    <row r="3" spans="1:13" ht="1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5">
        <v>2547</v>
      </c>
      <c r="G6" s="426">
        <v>2990</v>
      </c>
      <c r="H6" s="422"/>
      <c r="I6" s="425">
        <v>2990</v>
      </c>
      <c r="J6" s="426">
        <v>3405</v>
      </c>
    </row>
    <row r="7" spans="1:13" x14ac:dyDescent="0.3">
      <c r="A7" s="427">
        <v>10000</v>
      </c>
      <c r="B7" s="422"/>
      <c r="C7" s="428">
        <v>3689</v>
      </c>
      <c r="D7" s="429">
        <v>4408</v>
      </c>
      <c r="E7" s="422"/>
      <c r="F7" s="428">
        <v>4408</v>
      </c>
      <c r="G7" s="430">
        <v>5174</v>
      </c>
      <c r="H7" s="422"/>
      <c r="I7" s="428">
        <v>5174</v>
      </c>
      <c r="J7" s="430">
        <v>5893</v>
      </c>
    </row>
    <row r="8" spans="1:13" x14ac:dyDescent="0.3">
      <c r="A8" s="427">
        <v>15000</v>
      </c>
      <c r="B8" s="422"/>
      <c r="C8" s="428">
        <v>5084</v>
      </c>
      <c r="D8" s="429">
        <v>6075</v>
      </c>
      <c r="E8" s="422"/>
      <c r="F8" s="428">
        <v>6075</v>
      </c>
      <c r="G8" s="430">
        <v>7131</v>
      </c>
      <c r="H8" s="422"/>
      <c r="I8" s="428">
        <v>7131</v>
      </c>
      <c r="J8" s="430">
        <v>8122</v>
      </c>
    </row>
    <row r="9" spans="1:13" x14ac:dyDescent="0.3">
      <c r="A9" s="427">
        <v>25000</v>
      </c>
      <c r="B9" s="422"/>
      <c r="C9" s="428">
        <v>7615</v>
      </c>
      <c r="D9" s="429">
        <v>9098</v>
      </c>
      <c r="E9" s="422"/>
      <c r="F9" s="428">
        <v>9098</v>
      </c>
      <c r="G9" s="430">
        <v>10681</v>
      </c>
      <c r="H9" s="422"/>
      <c r="I9" s="428">
        <v>10681</v>
      </c>
      <c r="J9" s="430">
        <v>12164</v>
      </c>
    </row>
    <row r="10" spans="1:13" x14ac:dyDescent="0.3">
      <c r="A10" s="427">
        <v>35000</v>
      </c>
      <c r="B10" s="422"/>
      <c r="C10" s="428">
        <v>9934</v>
      </c>
      <c r="D10" s="429">
        <v>11869</v>
      </c>
      <c r="E10" s="422"/>
      <c r="F10" s="428">
        <v>11869</v>
      </c>
      <c r="G10" s="430">
        <v>13934</v>
      </c>
      <c r="H10" s="422"/>
      <c r="I10" s="428">
        <v>13934</v>
      </c>
      <c r="J10" s="430">
        <v>15869</v>
      </c>
    </row>
    <row r="11" spans="1:13" x14ac:dyDescent="0.3">
      <c r="A11" s="427">
        <v>50000</v>
      </c>
      <c r="B11" s="422"/>
      <c r="C11" s="428">
        <v>13165</v>
      </c>
      <c r="D11" s="429">
        <v>15729</v>
      </c>
      <c r="E11" s="422"/>
      <c r="F11" s="428">
        <v>15729</v>
      </c>
      <c r="G11" s="430">
        <v>18465</v>
      </c>
      <c r="H11" s="422"/>
      <c r="I11" s="428">
        <v>18465</v>
      </c>
      <c r="J11" s="430">
        <v>21029</v>
      </c>
    </row>
    <row r="12" spans="1:13" x14ac:dyDescent="0.3">
      <c r="A12" s="427">
        <v>75000</v>
      </c>
      <c r="B12" s="422"/>
      <c r="C12" s="428">
        <v>18122</v>
      </c>
      <c r="D12" s="429">
        <v>21652</v>
      </c>
      <c r="E12" s="422"/>
      <c r="F12" s="428">
        <v>21652</v>
      </c>
      <c r="G12" s="430">
        <v>25418</v>
      </c>
      <c r="H12" s="422"/>
      <c r="I12" s="428">
        <v>25418</v>
      </c>
      <c r="J12" s="430">
        <v>28948</v>
      </c>
    </row>
    <row r="13" spans="1:13" x14ac:dyDescent="0.3">
      <c r="A13" s="427">
        <v>100000</v>
      </c>
      <c r="B13" s="422"/>
      <c r="C13" s="428">
        <v>22723</v>
      </c>
      <c r="D13" s="429">
        <v>27150</v>
      </c>
      <c r="E13" s="422"/>
      <c r="F13" s="428">
        <v>27150</v>
      </c>
      <c r="G13" s="430">
        <v>31872</v>
      </c>
      <c r="H13" s="422"/>
      <c r="I13" s="428">
        <v>31872</v>
      </c>
      <c r="J13" s="430">
        <v>36299</v>
      </c>
    </row>
    <row r="14" spans="1:13" x14ac:dyDescent="0.3">
      <c r="A14" s="427">
        <v>150000</v>
      </c>
      <c r="B14" s="422"/>
      <c r="C14" s="428">
        <v>31228</v>
      </c>
      <c r="D14" s="429">
        <v>37311</v>
      </c>
      <c r="E14" s="422"/>
      <c r="F14" s="428">
        <v>37311</v>
      </c>
      <c r="G14" s="430">
        <v>43800</v>
      </c>
      <c r="H14" s="422"/>
      <c r="I14" s="428">
        <v>43800</v>
      </c>
      <c r="J14" s="430">
        <v>49883</v>
      </c>
    </row>
    <row r="15" spans="1:13" x14ac:dyDescent="0.3">
      <c r="A15" s="427">
        <v>250000</v>
      </c>
      <c r="B15" s="422"/>
      <c r="C15" s="428">
        <v>46640</v>
      </c>
      <c r="D15" s="429">
        <v>55726</v>
      </c>
      <c r="E15" s="422"/>
      <c r="F15" s="428">
        <v>55726</v>
      </c>
      <c r="G15" s="430">
        <v>65418</v>
      </c>
      <c r="H15" s="422"/>
      <c r="I15" s="428">
        <v>65418</v>
      </c>
      <c r="J15" s="430">
        <v>74504</v>
      </c>
    </row>
    <row r="16" spans="1:13" x14ac:dyDescent="0.3">
      <c r="A16" s="427">
        <v>500000</v>
      </c>
      <c r="B16" s="422"/>
      <c r="C16" s="428">
        <v>80684</v>
      </c>
      <c r="D16" s="429">
        <v>96402</v>
      </c>
      <c r="E16" s="422"/>
      <c r="F16" s="428">
        <v>96402</v>
      </c>
      <c r="G16" s="430">
        <v>113168</v>
      </c>
      <c r="H16" s="422"/>
      <c r="I16" s="428">
        <v>113168</v>
      </c>
      <c r="J16" s="430">
        <v>128886</v>
      </c>
    </row>
    <row r="17" spans="1:10" x14ac:dyDescent="0.3">
      <c r="A17" s="427">
        <v>750000</v>
      </c>
      <c r="B17" s="422"/>
      <c r="C17" s="428">
        <v>111105</v>
      </c>
      <c r="D17" s="429">
        <v>132749</v>
      </c>
      <c r="E17" s="422"/>
      <c r="F17" s="428">
        <v>132749</v>
      </c>
      <c r="G17" s="430">
        <v>155836</v>
      </c>
      <c r="H17" s="422"/>
      <c r="I17" s="428">
        <v>155836</v>
      </c>
      <c r="J17" s="430">
        <v>177480</v>
      </c>
    </row>
    <row r="18" spans="1:10" x14ac:dyDescent="0.3">
      <c r="A18" s="427">
        <v>1000000</v>
      </c>
      <c r="B18" s="422"/>
      <c r="C18" s="428">
        <v>139347</v>
      </c>
      <c r="D18" s="429">
        <v>166493</v>
      </c>
      <c r="E18" s="422"/>
      <c r="F18" s="428">
        <v>166493</v>
      </c>
      <c r="G18" s="430">
        <v>195448</v>
      </c>
      <c r="H18" s="422"/>
      <c r="I18" s="428">
        <v>195448</v>
      </c>
      <c r="J18" s="430">
        <v>222594</v>
      </c>
    </row>
    <row r="19" spans="1:10" x14ac:dyDescent="0.3">
      <c r="A19" s="427">
        <v>1250000</v>
      </c>
      <c r="B19" s="422"/>
      <c r="C19" s="428">
        <v>166043</v>
      </c>
      <c r="D19" s="429">
        <v>198389</v>
      </c>
      <c r="E19" s="422"/>
      <c r="F19" s="428">
        <v>198389</v>
      </c>
      <c r="G19" s="430">
        <v>232891</v>
      </c>
      <c r="H19" s="422"/>
      <c r="I19" s="428">
        <v>232891</v>
      </c>
      <c r="J19" s="430">
        <v>265237</v>
      </c>
    </row>
    <row r="20" spans="1:10" x14ac:dyDescent="0.3">
      <c r="A20" s="427">
        <v>1500000</v>
      </c>
      <c r="B20" s="422"/>
      <c r="C20" s="428">
        <v>191545</v>
      </c>
      <c r="D20" s="429">
        <v>228859</v>
      </c>
      <c r="E20" s="422"/>
      <c r="F20" s="428">
        <v>228859</v>
      </c>
      <c r="G20" s="430">
        <v>268660</v>
      </c>
      <c r="H20" s="422"/>
      <c r="I20" s="428">
        <v>268660</v>
      </c>
      <c r="J20" s="430">
        <v>305974</v>
      </c>
    </row>
    <row r="21" spans="1:10" x14ac:dyDescent="0.3">
      <c r="A21" s="427">
        <v>2000000</v>
      </c>
      <c r="B21" s="422"/>
      <c r="C21" s="428">
        <v>239792</v>
      </c>
      <c r="D21" s="429">
        <v>286504</v>
      </c>
      <c r="E21" s="422"/>
      <c r="F21" s="428">
        <v>286504</v>
      </c>
      <c r="G21" s="430">
        <v>336331</v>
      </c>
      <c r="H21" s="422"/>
      <c r="I21" s="428">
        <v>336331</v>
      </c>
      <c r="J21" s="430">
        <v>383044</v>
      </c>
    </row>
    <row r="22" spans="1:10" x14ac:dyDescent="0.3">
      <c r="A22" s="427">
        <v>2500000</v>
      </c>
      <c r="B22" s="422"/>
      <c r="C22" s="428">
        <v>285649</v>
      </c>
      <c r="D22" s="429">
        <v>341295</v>
      </c>
      <c r="E22" s="422"/>
      <c r="F22" s="428">
        <v>341295</v>
      </c>
      <c r="G22" s="430">
        <v>400650</v>
      </c>
      <c r="H22" s="422"/>
      <c r="I22" s="428">
        <v>400650</v>
      </c>
      <c r="J22" s="430">
        <v>456296</v>
      </c>
    </row>
    <row r="23" spans="1:10" x14ac:dyDescent="0.3">
      <c r="A23" s="427">
        <v>3000000</v>
      </c>
      <c r="B23" s="422"/>
      <c r="C23" s="428">
        <v>329420</v>
      </c>
      <c r="D23" s="429">
        <v>393593</v>
      </c>
      <c r="E23" s="422"/>
      <c r="F23" s="428">
        <v>393593</v>
      </c>
      <c r="G23" s="430">
        <v>462044</v>
      </c>
      <c r="H23" s="422"/>
      <c r="I23" s="428">
        <v>462044</v>
      </c>
      <c r="J23" s="430">
        <v>526217</v>
      </c>
    </row>
    <row r="24" spans="1:10" x14ac:dyDescent="0.3">
      <c r="A24" s="427">
        <v>3500000</v>
      </c>
      <c r="B24" s="422"/>
      <c r="C24" s="428">
        <v>371491</v>
      </c>
      <c r="D24" s="429">
        <v>443859</v>
      </c>
      <c r="E24" s="422"/>
      <c r="F24" s="428">
        <v>443859</v>
      </c>
      <c r="G24" s="430">
        <v>521052</v>
      </c>
      <c r="H24" s="422"/>
      <c r="I24" s="428">
        <v>521052</v>
      </c>
      <c r="J24" s="430">
        <v>593420</v>
      </c>
    </row>
    <row r="25" spans="1:10" ht="15.2" thickBot="1" x14ac:dyDescent="0.35">
      <c r="A25" s="427">
        <v>4000000</v>
      </c>
      <c r="B25" s="431"/>
      <c r="C25" s="428">
        <v>412126</v>
      </c>
      <c r="D25" s="429">
        <v>492410</v>
      </c>
      <c r="E25" s="432"/>
      <c r="F25" s="428">
        <v>492410</v>
      </c>
      <c r="G25" s="429">
        <v>578046</v>
      </c>
      <c r="H25" s="422"/>
      <c r="I25" s="428">
        <v>578046</v>
      </c>
      <c r="J25" s="429">
        <v>658331</v>
      </c>
    </row>
    <row r="26" spans="1:10" x14ac:dyDescent="0.3">
      <c r="A26" s="427">
        <v>5000000</v>
      </c>
      <c r="B26" s="1255" t="s">
        <v>334</v>
      </c>
      <c r="C26" s="428">
        <v>491179</v>
      </c>
      <c r="D26" s="429">
        <v>586864</v>
      </c>
      <c r="E26" s="1255" t="s">
        <v>334</v>
      </c>
      <c r="F26" s="428">
        <f>D26</f>
        <v>586864</v>
      </c>
      <c r="G26" s="429">
        <v>688927</v>
      </c>
      <c r="H26" s="1255" t="s">
        <v>334</v>
      </c>
      <c r="I26" s="428">
        <f>G26</f>
        <v>688927</v>
      </c>
      <c r="J26" s="429">
        <v>784611</v>
      </c>
    </row>
    <row r="27" spans="1:10" x14ac:dyDescent="0.3">
      <c r="A27" s="427">
        <v>6000000</v>
      </c>
      <c r="B27" s="1256"/>
      <c r="C27" s="428">
        <v>566898</v>
      </c>
      <c r="D27" s="429">
        <v>677333</v>
      </c>
      <c r="E27" s="1256"/>
      <c r="F27" s="428">
        <f>D27</f>
        <v>677333</v>
      </c>
      <c r="G27" s="429">
        <v>795130</v>
      </c>
      <c r="H27" s="1256"/>
      <c r="I27" s="428">
        <f>G27</f>
        <v>795130</v>
      </c>
      <c r="J27" s="429">
        <v>905564</v>
      </c>
    </row>
    <row r="28" spans="1:10" x14ac:dyDescent="0.3">
      <c r="A28" s="427">
        <v>7000000</v>
      </c>
      <c r="B28" s="1256"/>
      <c r="C28" s="428">
        <v>639950</v>
      </c>
      <c r="D28" s="429">
        <v>764616</v>
      </c>
      <c r="E28" s="1256"/>
      <c r="F28" s="428">
        <f t="shared" ref="F28:F44" si="0">D28</f>
        <v>764616</v>
      </c>
      <c r="G28" s="429">
        <v>897593</v>
      </c>
      <c r="H28" s="1256"/>
      <c r="I28" s="428">
        <f t="shared" ref="I28:I44" si="1">G28</f>
        <v>897593</v>
      </c>
      <c r="J28" s="429">
        <v>1022258</v>
      </c>
    </row>
    <row r="29" spans="1:10" x14ac:dyDescent="0.3">
      <c r="A29" s="427">
        <v>8000000</v>
      </c>
      <c r="B29" s="1256"/>
      <c r="C29" s="428">
        <v>710795</v>
      </c>
      <c r="D29" s="429">
        <v>849261</v>
      </c>
      <c r="E29" s="1256"/>
      <c r="F29" s="428">
        <f t="shared" si="0"/>
        <v>849261</v>
      </c>
      <c r="G29" s="429">
        <v>996959</v>
      </c>
      <c r="H29" s="1256"/>
      <c r="I29" s="428">
        <f t="shared" si="1"/>
        <v>996959</v>
      </c>
      <c r="J29" s="429">
        <v>1135425</v>
      </c>
    </row>
    <row r="30" spans="1:10" x14ac:dyDescent="0.3">
      <c r="A30" s="427">
        <v>9000000</v>
      </c>
      <c r="B30" s="1256"/>
      <c r="C30" s="428">
        <v>779763</v>
      </c>
      <c r="D30" s="429">
        <v>931665</v>
      </c>
      <c r="E30" s="1256"/>
      <c r="F30" s="428">
        <f t="shared" si="0"/>
        <v>931665</v>
      </c>
      <c r="G30" s="429">
        <v>1093694</v>
      </c>
      <c r="H30" s="1256"/>
      <c r="I30" s="428">
        <f t="shared" si="1"/>
        <v>1093694</v>
      </c>
      <c r="J30" s="429">
        <v>1245595</v>
      </c>
    </row>
    <row r="31" spans="1:10" x14ac:dyDescent="0.3">
      <c r="A31" s="427">
        <v>10000000</v>
      </c>
      <c r="B31" s="1256"/>
      <c r="C31" s="428">
        <v>847106</v>
      </c>
      <c r="D31" s="429">
        <v>1012127</v>
      </c>
      <c r="E31" s="1256"/>
      <c r="F31" s="428">
        <f t="shared" si="0"/>
        <v>1012127</v>
      </c>
      <c r="G31" s="429">
        <v>1188149</v>
      </c>
      <c r="H31" s="1256"/>
      <c r="I31" s="428">
        <f t="shared" si="1"/>
        <v>1188149</v>
      </c>
      <c r="J31" s="429">
        <v>1353170</v>
      </c>
    </row>
    <row r="32" spans="1:10" x14ac:dyDescent="0.3">
      <c r="A32" s="427">
        <v>12500000</v>
      </c>
      <c r="B32" s="1256"/>
      <c r="C32" s="428">
        <v>1009545</v>
      </c>
      <c r="D32" s="429">
        <v>1206209</v>
      </c>
      <c r="E32" s="1256"/>
      <c r="F32" s="428">
        <f t="shared" si="0"/>
        <v>1206209</v>
      </c>
      <c r="G32" s="429">
        <v>1415985</v>
      </c>
      <c r="H32" s="1256"/>
      <c r="I32" s="428">
        <f t="shared" si="1"/>
        <v>1415985</v>
      </c>
      <c r="J32" s="429">
        <v>1612649</v>
      </c>
    </row>
    <row r="33" spans="1:17" x14ac:dyDescent="0.3">
      <c r="A33" s="427">
        <v>15000000</v>
      </c>
      <c r="B33" s="1256"/>
      <c r="C33" s="428">
        <v>1165120</v>
      </c>
      <c r="D33" s="429">
        <v>1392092</v>
      </c>
      <c r="E33" s="1256"/>
      <c r="F33" s="428">
        <f t="shared" si="0"/>
        <v>1392092</v>
      </c>
      <c r="G33" s="429">
        <v>1634195</v>
      </c>
      <c r="H33" s="1256"/>
      <c r="I33" s="428">
        <f t="shared" si="1"/>
        <v>1634195</v>
      </c>
      <c r="J33" s="429">
        <v>1861166</v>
      </c>
    </row>
    <row r="34" spans="1:17" x14ac:dyDescent="0.3">
      <c r="A34" s="427">
        <v>17500000</v>
      </c>
      <c r="B34" s="1256"/>
      <c r="C34" s="428">
        <v>1315210</v>
      </c>
      <c r="D34" s="429">
        <v>1571419</v>
      </c>
      <c r="E34" s="1256"/>
      <c r="F34" s="428">
        <f t="shared" si="0"/>
        <v>1571419</v>
      </c>
      <c r="G34" s="429">
        <v>1844710</v>
      </c>
      <c r="H34" s="1256"/>
      <c r="I34" s="428">
        <f t="shared" si="1"/>
        <v>1844710</v>
      </c>
      <c r="J34" s="429">
        <v>2100919</v>
      </c>
    </row>
    <row r="35" spans="1:17" x14ac:dyDescent="0.3">
      <c r="A35" s="427">
        <v>20000000</v>
      </c>
      <c r="B35" s="1256"/>
      <c r="C35" s="428">
        <v>1460755</v>
      </c>
      <c r="D35" s="429">
        <v>1745318</v>
      </c>
      <c r="E35" s="1256"/>
      <c r="F35" s="428">
        <f t="shared" si="0"/>
        <v>1745318</v>
      </c>
      <c r="G35" s="429">
        <v>2048852</v>
      </c>
      <c r="H35" s="1256"/>
      <c r="I35" s="428">
        <f t="shared" si="1"/>
        <v>2048852</v>
      </c>
      <c r="J35" s="429">
        <v>2333414</v>
      </c>
    </row>
    <row r="36" spans="1:17" x14ac:dyDescent="0.3">
      <c r="A36" s="427">
        <v>25000000</v>
      </c>
      <c r="B36" s="1256"/>
      <c r="C36" s="428">
        <v>1740783</v>
      </c>
      <c r="D36" s="429">
        <v>2079896</v>
      </c>
      <c r="E36" s="1256"/>
      <c r="F36" s="428">
        <f t="shared" si="0"/>
        <v>2079896</v>
      </c>
      <c r="G36" s="429">
        <v>2441617</v>
      </c>
      <c r="H36" s="1256"/>
      <c r="I36" s="428">
        <f t="shared" si="1"/>
        <v>2441617</v>
      </c>
      <c r="J36" s="429">
        <v>2780731</v>
      </c>
    </row>
    <row r="37" spans="1:17" x14ac:dyDescent="0.3">
      <c r="A37" s="427">
        <v>30000000</v>
      </c>
      <c r="B37" s="1256"/>
      <c r="C37" s="428">
        <v>2008964</v>
      </c>
      <c r="D37" s="429">
        <v>2400321</v>
      </c>
      <c r="E37" s="1256"/>
      <c r="F37" s="428">
        <f t="shared" si="0"/>
        <v>2400321</v>
      </c>
      <c r="G37" s="429">
        <v>2817768</v>
      </c>
      <c r="H37" s="1256"/>
      <c r="I37" s="428">
        <f t="shared" si="1"/>
        <v>2817768</v>
      </c>
      <c r="J37" s="429">
        <v>3209125</v>
      </c>
    </row>
    <row r="38" spans="1:17" x14ac:dyDescent="0.3">
      <c r="A38" s="427">
        <v>40000000</v>
      </c>
      <c r="B38" s="1256"/>
      <c r="C38" s="428">
        <v>2518545</v>
      </c>
      <c r="D38" s="429">
        <v>3009171</v>
      </c>
      <c r="E38" s="1256"/>
      <c r="F38" s="428">
        <f t="shared" si="0"/>
        <v>3009171</v>
      </c>
      <c r="G38" s="429">
        <v>3532505</v>
      </c>
      <c r="H38" s="1256"/>
      <c r="I38" s="428">
        <f t="shared" si="1"/>
        <v>3532505</v>
      </c>
      <c r="J38" s="429">
        <v>4023130</v>
      </c>
    </row>
    <row r="39" spans="1:17" x14ac:dyDescent="0.3">
      <c r="A39" s="427">
        <v>50000000</v>
      </c>
      <c r="B39" s="1256"/>
      <c r="C39" s="428">
        <v>3001186</v>
      </c>
      <c r="D39" s="429">
        <v>3585832</v>
      </c>
      <c r="E39" s="1256"/>
      <c r="F39" s="428">
        <f t="shared" si="0"/>
        <v>3585832</v>
      </c>
      <c r="G39" s="429">
        <v>4209455</v>
      </c>
      <c r="H39" s="1256"/>
      <c r="I39" s="428">
        <f t="shared" si="1"/>
        <v>4209455</v>
      </c>
      <c r="J39" s="429">
        <v>4794102</v>
      </c>
    </row>
    <row r="40" spans="1:17" x14ac:dyDescent="0.3">
      <c r="A40" s="427">
        <v>75000000</v>
      </c>
      <c r="B40" s="1256"/>
      <c r="C40" s="428">
        <v>4126934</v>
      </c>
      <c r="D40" s="429">
        <v>4930882</v>
      </c>
      <c r="E40" s="1256"/>
      <c r="F40" s="428">
        <f t="shared" si="0"/>
        <v>4930882</v>
      </c>
      <c r="G40" s="429">
        <v>5788426</v>
      </c>
      <c r="H40" s="1256"/>
      <c r="I40" s="428">
        <f t="shared" si="1"/>
        <v>5788426</v>
      </c>
      <c r="J40" s="429">
        <v>6592374</v>
      </c>
    </row>
    <row r="41" spans="1:17" x14ac:dyDescent="0.3">
      <c r="A41" s="427">
        <v>100000000</v>
      </c>
      <c r="B41" s="1256"/>
      <c r="C41" s="428">
        <v>5173197</v>
      </c>
      <c r="D41" s="429">
        <v>6180963</v>
      </c>
      <c r="E41" s="1256"/>
      <c r="F41" s="428">
        <f t="shared" si="0"/>
        <v>6180963</v>
      </c>
      <c r="G41" s="429">
        <v>7255913</v>
      </c>
      <c r="H41" s="1256"/>
      <c r="I41" s="428">
        <f t="shared" si="1"/>
        <v>7255913</v>
      </c>
      <c r="J41" s="429">
        <v>8263678</v>
      </c>
    </row>
    <row r="42" spans="1:17" x14ac:dyDescent="0.3">
      <c r="A42" s="427">
        <v>150000000</v>
      </c>
      <c r="B42" s="1256"/>
      <c r="C42" s="428">
        <v>7112783</v>
      </c>
      <c r="D42" s="429">
        <v>8498390</v>
      </c>
      <c r="E42" s="1256"/>
      <c r="F42" s="428">
        <f t="shared" si="0"/>
        <v>8498390</v>
      </c>
      <c r="G42" s="429">
        <v>9976370</v>
      </c>
      <c r="H42" s="1256"/>
      <c r="I42" s="428">
        <f t="shared" si="1"/>
        <v>9976370</v>
      </c>
      <c r="J42" s="429">
        <v>11361977</v>
      </c>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row>
    <row r="45" spans="1:17" x14ac:dyDescent="0.3">
      <c r="A45" s="436"/>
      <c r="B45" s="431"/>
      <c r="C45" s="436"/>
      <c r="D45" s="436"/>
      <c r="E45" s="431"/>
      <c r="F45" s="436"/>
      <c r="G45" s="436"/>
      <c r="H45" s="431"/>
      <c r="I45" s="436"/>
      <c r="J45" s="436"/>
    </row>
    <row r="46" spans="1:17" s="445" customFormat="1" ht="26.25" customHeight="1" x14ac:dyDescent="0.3">
      <c r="A46" s="437"/>
      <c r="B46" s="438" t="s">
        <v>481</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t="e">
        <f>#REF!</f>
        <v>#REF!</v>
      </c>
      <c r="H62" s="1263"/>
      <c r="I62" s="1262" t="e">
        <f>#REF!</f>
        <v>#REF!</v>
      </c>
      <c r="J62" s="1263"/>
      <c r="K62" s="1262" t="e">
        <f>#REF!</f>
        <v>#REF!</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t="e">
        <f>#REF!</f>
        <v>#REF!</v>
      </c>
      <c r="H64" s="1182"/>
      <c r="J64" s="1258"/>
      <c r="K64" s="1258"/>
      <c r="L64" s="456"/>
      <c r="M64" s="459"/>
      <c r="N64" s="443"/>
      <c r="O64" s="443"/>
      <c r="P64" s="443"/>
      <c r="Q64" s="444"/>
    </row>
    <row r="65" spans="1:17" x14ac:dyDescent="0.3">
      <c r="A65" s="446"/>
      <c r="B65" s="1242" t="s">
        <v>338</v>
      </c>
      <c r="C65" s="1243"/>
      <c r="D65" s="1243"/>
      <c r="E65" s="1244"/>
      <c r="F65" s="458"/>
      <c r="G65" s="1181" t="e">
        <f>#REF!</f>
        <v>#REF!</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252" t="s">
        <v>337</v>
      </c>
      <c r="F70" s="460"/>
      <c r="G70" s="461" t="s">
        <v>349</v>
      </c>
      <c r="H70" s="462" t="e">
        <f>IF(G62&lt;$A$6,0,IF(G62&gt;$A$44,0,VLOOKUP(G62,$A$6:$A$44,1)))</f>
        <v>#REF!</v>
      </c>
      <c r="I70" s="461" t="s">
        <v>349</v>
      </c>
      <c r="J70" s="462" t="e">
        <f>IF(I62&lt;$A$6,0,IF(I62&gt;$A$44,0,VLOOKUP(I62,$A$6:$A$44,1)))</f>
        <v>#REF!</v>
      </c>
      <c r="K70" s="461" t="s">
        <v>349</v>
      </c>
      <c r="L70" s="462" t="e">
        <f>IF(K62&lt;$A$6,0,IF(K62&gt;$A$44,0,VLOOKUP(K62,$A$6:$A$44,1)))</f>
        <v>#REF!</v>
      </c>
      <c r="M70" s="74"/>
      <c r="N70" s="444"/>
      <c r="O70" s="444"/>
      <c r="P70" s="444"/>
      <c r="Q70" s="444"/>
    </row>
    <row r="71" spans="1:17" x14ac:dyDescent="0.3">
      <c r="A71" s="446"/>
      <c r="B71" s="449"/>
      <c r="C71" s="449"/>
      <c r="D71" s="1223"/>
      <c r="E71" s="1254"/>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387">
        <v>1</v>
      </c>
      <c r="F72" s="74"/>
      <c r="G72" s="462" t="e">
        <f>IF(G62&lt;$A$6,0,IF(G62&gt;$A$44,0,VLOOKUP(H70,$A$6:$J$44,3)))</f>
        <v>#REF!</v>
      </c>
      <c r="H72" s="462" t="e">
        <f>IF(G62&lt;$A$6,0,IF(G62&gt;$A$44,0,VLOOKUP(G72,$C$6:$D$44,2)))</f>
        <v>#REF!</v>
      </c>
      <c r="I72" s="462" t="e">
        <f>IF(I62&lt;$A$6,0,IF(I62&gt;$A$44,0,VLOOKUP(J70,$A$6:$J$44,3)))</f>
        <v>#REF!</v>
      </c>
      <c r="J72" s="462" t="e">
        <f>IF(I62&lt;$A$6,0,IF(I62&gt;$A$44,0,VLOOKUP(I72,$C$6:$D$44,2)))</f>
        <v>#REF!</v>
      </c>
      <c r="K72" s="462" t="e">
        <f>IF(K62&lt;$A$6,0,IF(K62&gt;$A$44,0,VLOOKUP(L70,$A$6:$J$44,3)))</f>
        <v>#REF!</v>
      </c>
      <c r="L72" s="462" t="e">
        <f>IF(K62&lt;$A$6,0,IF(K62&gt;$A$44,0,VLOOKUP(K72,$C$6:$D$44,2)))</f>
        <v>#REF!</v>
      </c>
      <c r="M72" s="460"/>
      <c r="N72" s="444"/>
      <c r="O72" s="444"/>
      <c r="P72" s="444"/>
      <c r="Q72" s="444"/>
    </row>
    <row r="73" spans="1:17" x14ac:dyDescent="0.3">
      <c r="A73" s="446"/>
      <c r="B73" s="449"/>
      <c r="C73" s="449"/>
      <c r="D73" s="1223"/>
      <c r="E73" s="387">
        <v>2</v>
      </c>
      <c r="F73" s="74"/>
      <c r="G73" s="462" t="e">
        <f>IF(G62&lt;$A$6,0,IF(G62&gt;$A$44,0,VLOOKUP(H70,$A$6:$J$44,6)))</f>
        <v>#REF!</v>
      </c>
      <c r="H73" s="462" t="e">
        <f>IF(G62&lt;$A$6,0,IF(G62&gt;$A$44,0,VLOOKUP(G73,$F$6:$G$44,2)))</f>
        <v>#REF!</v>
      </c>
      <c r="I73" s="462" t="e">
        <f>IF(I62&lt;$A$6,0,IF(I62&gt;$A$44,0,VLOOKUP(J70,$A$6:$J$44,6)))</f>
        <v>#REF!</v>
      </c>
      <c r="J73" s="462" t="e">
        <f>IF(I62&lt;$A$6,0,IF(I62&gt;$A$44,0,VLOOKUP(I73,$F$6:$G$44,2)))</f>
        <v>#REF!</v>
      </c>
      <c r="K73" s="462" t="e">
        <f>IF(K62&lt;$A$6,0,IF(K62&gt;$A$44,0,VLOOKUP(L70,$A$6:$J$44,6)))</f>
        <v>#REF!</v>
      </c>
      <c r="L73" s="462" t="e">
        <f>IF(K62&lt;$A$6,0,IF(K62&gt;$A$44,0,VLOOKUP(K73,$F$6:$G$44,2)))</f>
        <v>#REF!</v>
      </c>
      <c r="M73" s="460"/>
      <c r="N73" s="444"/>
      <c r="O73" s="444"/>
      <c r="P73" s="444"/>
      <c r="Q73" s="444"/>
    </row>
    <row r="74" spans="1:17" x14ac:dyDescent="0.3">
      <c r="A74" s="446"/>
      <c r="B74" s="449"/>
      <c r="C74" s="449"/>
      <c r="D74" s="1224"/>
      <c r="E74" s="387">
        <v>3</v>
      </c>
      <c r="F74" s="74"/>
      <c r="G74" s="462" t="e">
        <f>IF(G62&lt;$A$6,0,IF(G62&gt;$A$44,0,VLOOKUP(H70,$A$6:$J$44,9)))</f>
        <v>#REF!</v>
      </c>
      <c r="H74" s="462" t="e">
        <f>IF(G62&lt;$A$6,0,IF(G62&gt;$A$44,0,VLOOKUP(G74,$I$6:$J$44,2)))</f>
        <v>#REF!</v>
      </c>
      <c r="I74" s="462" t="e">
        <f>IF(I62&lt;$A$6,0,IF(I62&gt;$A$44,0,VLOOKUP(J70,$A$6:$J$44,9)))</f>
        <v>#REF!</v>
      </c>
      <c r="J74" s="462" t="e">
        <f>IF(I62&lt;$A$6,0,IF(I62&gt;$A$44,0,VLOOKUP(I74,$I$6:$J$44,2)))</f>
        <v>#REF!</v>
      </c>
      <c r="K74" s="462" t="e">
        <f>IF(K62&lt;$A$6,0,IF(K62&gt;$A$44,0,VLOOKUP(L70,$A$6:$J$44,9)))</f>
        <v>#REF!</v>
      </c>
      <c r="L74" s="462" t="e">
        <f>IF(K62&lt;$A$6,0,IF(K62&gt;$A$44,0,VLOOKUP(K74,$I$6:$J$44,2)))</f>
        <v>#REF!</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252" t="s">
        <v>337</v>
      </c>
      <c r="F76" s="74"/>
      <c r="G76" s="461" t="s">
        <v>349</v>
      </c>
      <c r="H76" s="462" t="e">
        <f>IF(G62&lt;$A$6,0,IF(G62&gt;$A$44,0,INDEX($A$6:$A$44,MATCH(G62,$A$6:$A$44,1)+1,1)))</f>
        <v>#REF!</v>
      </c>
      <c r="I76" s="461" t="s">
        <v>349</v>
      </c>
      <c r="J76" s="462" t="e">
        <f>IF(I62&lt;$A$6,0,IF(I62&gt;$A$44,0,INDEX($A$6:$A$44,MATCH(I62,$A$6:$A$44,1)+1,1)))</f>
        <v>#REF!</v>
      </c>
      <c r="K76" s="461" t="s">
        <v>349</v>
      </c>
      <c r="L76" s="462" t="e">
        <f>IF(K62&lt;$A$6,0,IF(K62&gt;$A$44,0,INDEX($A$6:$A$44,MATCH(K62,$A$6:$A$44,1)+1,1)))</f>
        <v>#REF!</v>
      </c>
      <c r="M76" s="74"/>
      <c r="N76" s="444"/>
      <c r="O76" s="444"/>
      <c r="P76" s="444"/>
      <c r="Q76" s="444"/>
    </row>
    <row r="77" spans="1:17" x14ac:dyDescent="0.3">
      <c r="A77" s="446"/>
      <c r="B77" s="449"/>
      <c r="C77" s="449"/>
      <c r="D77" s="1223"/>
      <c r="E77" s="1254"/>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387">
        <v>1</v>
      </c>
      <c r="F78" s="74"/>
      <c r="G78" s="462" t="e">
        <f>IF(G62&lt;$A$6,0,IF(G62&gt;$A$44,0,VLOOKUP(H76,$A$6:$J$44,3)))</f>
        <v>#REF!</v>
      </c>
      <c r="H78" s="462" t="e">
        <f>IF(G62&lt;$A$6,0,IF(G62&gt;$A$44,0,VLOOKUP(G78,$C$6:$D$44,2)))</f>
        <v>#REF!</v>
      </c>
      <c r="I78" s="462" t="e">
        <f>IF(I62&lt;$A$6,0,IF(I62&gt;$A$44,0,VLOOKUP(J76,$A$6:$J$44,3)))</f>
        <v>#REF!</v>
      </c>
      <c r="J78" s="462" t="e">
        <f>IF(I62&lt;$A$6,0,IF(I62&gt;$A$44,0,VLOOKUP(I78,$C$6:$D$44,2)))</f>
        <v>#REF!</v>
      </c>
      <c r="K78" s="462" t="e">
        <f>IF(K62&lt;$A$6,0,IF(K62&gt;$A$44,0,VLOOKUP(L76,$A$6:$J$44,3)))</f>
        <v>#REF!</v>
      </c>
      <c r="L78" s="462" t="e">
        <f>IF(K62&lt;$A$6,0,IF(K62&gt;$A$44,0,VLOOKUP(K78,$C$6:$D$44,2)))</f>
        <v>#REF!</v>
      </c>
      <c r="M78" s="460"/>
      <c r="N78" s="444"/>
      <c r="O78" s="444"/>
      <c r="P78" s="444"/>
      <c r="Q78" s="444"/>
    </row>
    <row r="79" spans="1:17" x14ac:dyDescent="0.3">
      <c r="A79" s="446"/>
      <c r="B79" s="449"/>
      <c r="C79" s="449"/>
      <c r="D79" s="1223"/>
      <c r="E79" s="387">
        <v>2</v>
      </c>
      <c r="F79" s="74"/>
      <c r="G79" s="462" t="e">
        <f>IF(G62&lt;$A$6,0,IF(G62&gt;$A$44,0,VLOOKUP(H76,$A$6:$J$44,6)))</f>
        <v>#REF!</v>
      </c>
      <c r="H79" s="462" t="e">
        <f>IF(G62&lt;$A$6,0,IF(G62&gt;$A$44,0,VLOOKUP(G79,$F$6:$G$44,2)))</f>
        <v>#REF!</v>
      </c>
      <c r="I79" s="462" t="e">
        <f>IF(I62&lt;$A$6,0,IF(I62&gt;$A$44,0,VLOOKUP(J76,$A$6:$J$44,6)))</f>
        <v>#REF!</v>
      </c>
      <c r="J79" s="462" t="e">
        <f>IF(I62&lt;$A$6,0,IF(I62&gt;$A$44,0,VLOOKUP(I79,$F$6:$G$44,2)))</f>
        <v>#REF!</v>
      </c>
      <c r="K79" s="462" t="e">
        <f>IF(K62&lt;$A$6,0,IF(K62&gt;$A$44,0,VLOOKUP(L76,$A$6:$J$44,6)))</f>
        <v>#REF!</v>
      </c>
      <c r="L79" s="462" t="e">
        <f>IF(K62&lt;$A$6,0,IF(K62&gt;$A$44,0,VLOOKUP(K79,$F$6:$G$44,2)))</f>
        <v>#REF!</v>
      </c>
      <c r="M79" s="460"/>
      <c r="N79" s="444"/>
      <c r="O79" s="444"/>
      <c r="P79" s="444"/>
      <c r="Q79" s="444"/>
    </row>
    <row r="80" spans="1:17" x14ac:dyDescent="0.3">
      <c r="A80" s="446"/>
      <c r="B80" s="449"/>
      <c r="C80" s="449"/>
      <c r="D80" s="1224"/>
      <c r="E80" s="387">
        <v>3</v>
      </c>
      <c r="F80" s="74"/>
      <c r="G80" s="462" t="e">
        <f>IF(G62&lt;$A$6,0,IF(G62&gt;$A$44,0,VLOOKUP(H76,$A$6:$J$44,9)))</f>
        <v>#REF!</v>
      </c>
      <c r="H80" s="462" t="e">
        <f>IF(G62&lt;$A$6,0,IF(G62&gt;$A$44,0,VLOOKUP(G80,$I$6:$J$44,2)))</f>
        <v>#REF!</v>
      </c>
      <c r="I80" s="462" t="e">
        <f>IF(I62&lt;$A$6,0,IF(I62&gt;$A$44,0,VLOOKUP(J76,$A$6:$J$44,9)))</f>
        <v>#REF!</v>
      </c>
      <c r="J80" s="462" t="e">
        <f>IF(I62&lt;$A$6,0,IF(I62&gt;$A$44,0,VLOOKUP(I80,$I$6:$J$44,2)))</f>
        <v>#REF!</v>
      </c>
      <c r="K80" s="462" t="e">
        <f>IF(K62&lt;$A$6,0,IF(K62&gt;$A$44,0,VLOOKUP(L76,$A$6:$J$44,9)))</f>
        <v>#REF!</v>
      </c>
      <c r="L80" s="462" t="e">
        <f>IF(K62&lt;$A$6,0,IF(K62&gt;$A$44,0,VLOOKUP(K80,$I$6:$J$44,2)))</f>
        <v>#REF!</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t="e">
        <f>VLOOKUP(G64,E72:H74,3)</f>
        <v>#REF!</v>
      </c>
      <c r="H85" s="468" t="e">
        <f>VLOOKUP(G64,E72:H74,4)</f>
        <v>#REF!</v>
      </c>
      <c r="I85" s="468" t="e">
        <f>VLOOKUP(G64,E72:J74,5)</f>
        <v>#REF!</v>
      </c>
      <c r="J85" s="468" t="e">
        <f>VLOOKUP(G64,E72:J74,6)</f>
        <v>#REF!</v>
      </c>
      <c r="K85" s="468" t="e">
        <f>VLOOKUP(G64,E72:K74,7)</f>
        <v>#REF!</v>
      </c>
      <c r="L85" s="468" t="e">
        <f>VLOOKUP(G64,E72:L74,8)</f>
        <v>#REF!</v>
      </c>
      <c r="M85" s="469"/>
      <c r="N85" s="444"/>
      <c r="O85" s="444"/>
      <c r="P85" s="444"/>
      <c r="Q85" s="444"/>
    </row>
    <row r="86" spans="1:17" x14ac:dyDescent="0.3">
      <c r="A86" s="446"/>
      <c r="B86" s="1238" t="s">
        <v>350</v>
      </c>
      <c r="C86" s="1238"/>
      <c r="D86" s="1238"/>
      <c r="E86" s="1238"/>
      <c r="F86" s="74"/>
      <c r="G86" s="468" t="e">
        <f>VLOOKUP(G64,E78:H80,3)</f>
        <v>#REF!</v>
      </c>
      <c r="H86" s="468" t="e">
        <f>VLOOKUP(G64,E78:H80,4)</f>
        <v>#REF!</v>
      </c>
      <c r="I86" s="468" t="e">
        <f>VLOOKUP(G64,E78:J80,5)</f>
        <v>#REF!</v>
      </c>
      <c r="J86" s="468" t="e">
        <f>VLOOKUP(G64,E78:J80,6)</f>
        <v>#REF!</v>
      </c>
      <c r="K86" s="468" t="e">
        <f>VLOOKUP(G64,E78:K80,7)</f>
        <v>#REF!</v>
      </c>
      <c r="L86" s="468" t="e">
        <f>VLOOKUP(G64,E78:L80,8)</f>
        <v>#REF!</v>
      </c>
      <c r="M86" s="469"/>
      <c r="N86" s="444"/>
      <c r="O86" s="444"/>
      <c r="P86" s="444"/>
      <c r="Q86" s="444"/>
    </row>
    <row r="87" spans="1:17" x14ac:dyDescent="0.3">
      <c r="A87" s="446"/>
      <c r="B87" s="1245" t="s">
        <v>352</v>
      </c>
      <c r="C87" s="1246"/>
      <c r="D87" s="1246"/>
      <c r="E87" s="1247"/>
      <c r="F87" s="74"/>
      <c r="G87" s="470" t="e">
        <f t="shared" ref="G87:L87" si="2">G86-G85</f>
        <v>#REF!</v>
      </c>
      <c r="H87" s="470" t="e">
        <f t="shared" si="2"/>
        <v>#REF!</v>
      </c>
      <c r="I87" s="470" t="e">
        <f t="shared" si="2"/>
        <v>#REF!</v>
      </c>
      <c r="J87" s="470" t="e">
        <f t="shared" si="2"/>
        <v>#REF!</v>
      </c>
      <c r="K87" s="470" t="e">
        <f t="shared" si="2"/>
        <v>#REF!</v>
      </c>
      <c r="L87" s="470" t="e">
        <f t="shared" si="2"/>
        <v>#REF!</v>
      </c>
      <c r="M87" s="471"/>
      <c r="N87" s="444"/>
      <c r="O87" s="444"/>
      <c r="P87" s="444"/>
      <c r="Q87" s="444"/>
    </row>
    <row r="88" spans="1:17" x14ac:dyDescent="0.3">
      <c r="A88" s="446"/>
      <c r="B88" s="1238" t="s">
        <v>353</v>
      </c>
      <c r="C88" s="1238"/>
      <c r="D88" s="1238"/>
      <c r="E88" s="1238"/>
      <c r="F88" s="74"/>
      <c r="G88" s="470" t="e">
        <f>G62-H70</f>
        <v>#REF!</v>
      </c>
      <c r="H88" s="472" t="e">
        <f>G64</f>
        <v>#REF!</v>
      </c>
      <c r="I88" s="470" t="e">
        <f>I62-J70</f>
        <v>#REF!</v>
      </c>
      <c r="J88" s="472" t="e">
        <f>G64</f>
        <v>#REF!</v>
      </c>
      <c r="K88" s="470" t="e">
        <f>K62-L70</f>
        <v>#REF!</v>
      </c>
      <c r="L88" s="472" t="e">
        <f>G64</f>
        <v>#REF!</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t="e">
        <f t="shared" ref="G93:L93" si="3">G85</f>
        <v>#REF!</v>
      </c>
      <c r="H93" s="468" t="e">
        <f t="shared" si="3"/>
        <v>#REF!</v>
      </c>
      <c r="I93" s="468" t="e">
        <f t="shared" si="3"/>
        <v>#REF!</v>
      </c>
      <c r="J93" s="468" t="e">
        <f t="shared" si="3"/>
        <v>#REF!</v>
      </c>
      <c r="K93" s="468" t="e">
        <f t="shared" si="3"/>
        <v>#REF!</v>
      </c>
      <c r="L93" s="468" t="e">
        <f t="shared" si="3"/>
        <v>#REF!</v>
      </c>
      <c r="M93" s="469"/>
    </row>
    <row r="94" spans="1:17" x14ac:dyDescent="0.3">
      <c r="A94" s="446"/>
      <c r="B94" s="1238" t="s">
        <v>356</v>
      </c>
      <c r="C94" s="1238"/>
      <c r="D94" s="1238"/>
      <c r="E94" s="1238"/>
      <c r="F94" s="473"/>
      <c r="G94" s="468" t="e">
        <f>G88</f>
        <v>#REF!</v>
      </c>
      <c r="H94" s="468" t="e">
        <f>G88</f>
        <v>#REF!</v>
      </c>
      <c r="I94" s="468" t="e">
        <f>I88</f>
        <v>#REF!</v>
      </c>
      <c r="J94" s="468" t="e">
        <f>I88</f>
        <v>#REF!</v>
      </c>
      <c r="K94" s="468" t="e">
        <f>K88</f>
        <v>#REF!</v>
      </c>
      <c r="L94" s="468" t="e">
        <f>K88</f>
        <v>#REF!</v>
      </c>
      <c r="M94" s="469"/>
    </row>
    <row r="95" spans="1:17" x14ac:dyDescent="0.3">
      <c r="A95" s="446"/>
      <c r="B95" s="1238" t="s">
        <v>357</v>
      </c>
      <c r="C95" s="1238"/>
      <c r="D95" s="1238"/>
      <c r="E95" s="1238"/>
      <c r="F95" s="473"/>
      <c r="G95" s="468" t="e">
        <f t="shared" ref="G95:L95" si="4">G87</f>
        <v>#REF!</v>
      </c>
      <c r="H95" s="468" t="e">
        <f t="shared" si="4"/>
        <v>#REF!</v>
      </c>
      <c r="I95" s="468" t="e">
        <f t="shared" si="4"/>
        <v>#REF!</v>
      </c>
      <c r="J95" s="468" t="e">
        <f t="shared" si="4"/>
        <v>#REF!</v>
      </c>
      <c r="K95" s="468" t="e">
        <f t="shared" si="4"/>
        <v>#REF!</v>
      </c>
      <c r="L95" s="468" t="e">
        <f t="shared" si="4"/>
        <v>#REF!</v>
      </c>
      <c r="M95" s="469"/>
    </row>
    <row r="96" spans="1:17" x14ac:dyDescent="0.3">
      <c r="A96" s="446"/>
      <c r="B96" s="1238" t="s">
        <v>358</v>
      </c>
      <c r="C96" s="1238"/>
      <c r="D96" s="1238"/>
      <c r="E96" s="1238"/>
      <c r="F96" s="473"/>
      <c r="G96" s="468" t="e">
        <f>H76-H70</f>
        <v>#REF!</v>
      </c>
      <c r="H96" s="468" t="e">
        <f>H76-H70</f>
        <v>#REF!</v>
      </c>
      <c r="I96" s="468" t="e">
        <f>J76-J70</f>
        <v>#REF!</v>
      </c>
      <c r="J96" s="468" t="e">
        <f>J76-J70</f>
        <v>#REF!</v>
      </c>
      <c r="K96" s="468" t="e">
        <f>L76-L70</f>
        <v>#REF!</v>
      </c>
      <c r="L96" s="468" t="e">
        <f>L76-L70</f>
        <v>#REF!</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t="e">
        <f>IF(G96=0,0,G93+((G94*G95)/G96))</f>
        <v>#REF!</v>
      </c>
      <c r="I98" s="74"/>
      <c r="J98" s="476" t="e">
        <f>IF(I96=0,0,I93+((I94*I95)/I96))</f>
        <v>#REF!</v>
      </c>
      <c r="K98" s="74"/>
      <c r="L98" s="476" t="e">
        <f>IF(K96=0,0,K93+((K94*K95)/K96))</f>
        <v>#REF!</v>
      </c>
      <c r="M98" s="73"/>
    </row>
    <row r="99" spans="1:13" x14ac:dyDescent="0.3">
      <c r="A99" s="446"/>
      <c r="B99" s="394" t="s">
        <v>359</v>
      </c>
      <c r="C99" s="461"/>
      <c r="D99" s="475" t="s">
        <v>339</v>
      </c>
      <c r="E99" s="393"/>
      <c r="F99" s="469"/>
      <c r="G99" s="74"/>
      <c r="H99" s="477" t="e">
        <f>((H102-H98)*0.25)+H98</f>
        <v>#REF!</v>
      </c>
      <c r="I99" s="74"/>
      <c r="J99" s="477" t="e">
        <f>((J102-J98)*0.25)+J98</f>
        <v>#REF!</v>
      </c>
      <c r="K99" s="74"/>
      <c r="L99" s="477" t="e">
        <f>((L102-L98)*0.25)+L98</f>
        <v>#REF!</v>
      </c>
      <c r="M99" s="73"/>
    </row>
    <row r="100" spans="1:13" x14ac:dyDescent="0.3">
      <c r="A100" s="446"/>
      <c r="B100" s="394"/>
      <c r="C100" s="461"/>
      <c r="D100" s="475" t="s">
        <v>340</v>
      </c>
      <c r="E100" s="393"/>
      <c r="F100" s="469"/>
      <c r="G100" s="74"/>
      <c r="H100" s="477" t="e">
        <f>(H102+H98)/2</f>
        <v>#REF!</v>
      </c>
      <c r="I100" s="74"/>
      <c r="J100" s="477" t="e">
        <f>(J102+J98)/2</f>
        <v>#REF!</v>
      </c>
      <c r="K100" s="74"/>
      <c r="L100" s="477" t="e">
        <f>(L102+L98)/2</f>
        <v>#REF!</v>
      </c>
      <c r="M100" s="73"/>
    </row>
    <row r="101" spans="1:13" x14ac:dyDescent="0.3">
      <c r="A101" s="446"/>
      <c r="B101" s="394" t="s">
        <v>360</v>
      </c>
      <c r="C101" s="461"/>
      <c r="D101" s="475" t="s">
        <v>341</v>
      </c>
      <c r="E101" s="393"/>
      <c r="F101" s="469"/>
      <c r="G101" s="74"/>
      <c r="H101" s="477" t="e">
        <f>((H102-H98)*0.75)+H98</f>
        <v>#REF!</v>
      </c>
      <c r="I101" s="74"/>
      <c r="J101" s="477" t="e">
        <f>((J102-J98)*0.75)+J98</f>
        <v>#REF!</v>
      </c>
      <c r="K101" s="74"/>
      <c r="L101" s="477" t="e">
        <f>((L102-L98)*0.75)+L98</f>
        <v>#REF!</v>
      </c>
      <c r="M101" s="73"/>
    </row>
    <row r="102" spans="1:13" ht="15.2" thickBot="1" x14ac:dyDescent="0.35">
      <c r="A102" s="446"/>
      <c r="B102" s="395"/>
      <c r="C102" s="461"/>
      <c r="D102" s="475" t="s">
        <v>342</v>
      </c>
      <c r="E102" s="393"/>
      <c r="F102" s="469"/>
      <c r="G102" s="74"/>
      <c r="H102" s="478" t="e">
        <f>IF(H96=0,0,H93+((H94*H95)/H96))</f>
        <v>#REF!</v>
      </c>
      <c r="I102" s="74"/>
      <c r="J102" s="478" t="e">
        <f>IF(J96=0,0,J93+((J94*J95)/J96))</f>
        <v>#REF!</v>
      </c>
      <c r="K102" s="74"/>
      <c r="L102" s="478" t="e">
        <f>IF(L96=0,0,L93+((L94*L95)/L96))</f>
        <v>#REF!</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t="e">
        <f>G64</f>
        <v>#REF!</v>
      </c>
      <c r="H105" s="480" t="e">
        <f>IF(G65="Basishonorarsatz",H98,IF(G65="Viertelsatz",H99,IF(G65="Mittelsatz",H100,IF(G65="Dreiviertelsatz",H101,H102))))</f>
        <v>#REF!</v>
      </c>
      <c r="I105" s="481" t="e">
        <f>G64</f>
        <v>#REF!</v>
      </c>
      <c r="J105" s="480" t="e">
        <f>IF(G65="Basishonorarsatz",J98,IF(G65="Viertelsatz",J99,IF(G65="Mittelsatz",J100,IF(G65="Dreiviertelsatz",J101,J102))))</f>
        <v>#REF!</v>
      </c>
      <c r="K105" s="481" t="e">
        <f>G64</f>
        <v>#REF!</v>
      </c>
      <c r="L105" s="480" t="e">
        <f>IF(G65="Basishonorarsatz",L98,IF(G65="Viertelsatz",L99,IF(G65="Mittelsatz",L100,IF(G65="Dreiviertelsatz",L101,L102))))</f>
        <v>#REF!</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t="e">
        <f>IF(#REF!="ja",#REF!,0)</f>
        <v>#REF!</v>
      </c>
      <c r="D109" s="1273"/>
      <c r="E109" s="1282" t="e">
        <f>IF(#REF!="ja",#REF!,0)</f>
        <v>#REF!</v>
      </c>
      <c r="F109" s="1273"/>
      <c r="G109" s="490" t="e">
        <f>C109*1.1+E109</f>
        <v>#REF!</v>
      </c>
    </row>
    <row r="110" spans="1:13" x14ac:dyDescent="0.3">
      <c r="B110" s="491">
        <v>2</v>
      </c>
      <c r="C110" s="1158" t="e">
        <f>IF(#REF!="ja",#REF!,0)</f>
        <v>#REF!</v>
      </c>
      <c r="D110" s="1159"/>
      <c r="E110" s="1275" t="e">
        <f>IF(#REF!="ja",#REF!,0)</f>
        <v>#REF!</v>
      </c>
      <c r="F110" s="1159"/>
      <c r="G110" s="490" t="e">
        <f>C110*1.1+E110</f>
        <v>#REF!</v>
      </c>
    </row>
    <row r="111" spans="1:13" x14ac:dyDescent="0.3">
      <c r="B111" s="491">
        <v>3</v>
      </c>
      <c r="C111" s="1158" t="e">
        <f>IF(#REF!="ja",#REF!,0)</f>
        <v>#REF!</v>
      </c>
      <c r="D111" s="1159"/>
      <c r="E111" s="1275" t="e">
        <f>IF(#REF!="ja",#REF!,0)</f>
        <v>#REF!</v>
      </c>
      <c r="F111" s="1159"/>
      <c r="G111" s="490" t="e">
        <f t="shared" ref="G111:G122" si="5">C111*1.1+E111</f>
        <v>#REF!</v>
      </c>
    </row>
    <row r="112" spans="1:13" x14ac:dyDescent="0.3">
      <c r="B112" s="491">
        <v>4</v>
      </c>
      <c r="C112" s="1158" t="e">
        <f>IF(#REF!="ja",#REF!,0)</f>
        <v>#REF!</v>
      </c>
      <c r="D112" s="1159"/>
      <c r="E112" s="1275" t="e">
        <f>IF(#REF!="ja",#REF!,0)</f>
        <v>#REF!</v>
      </c>
      <c r="F112" s="1159"/>
      <c r="G112" s="490" t="e">
        <f t="shared" si="5"/>
        <v>#REF!</v>
      </c>
    </row>
    <row r="113" spans="2:7" x14ac:dyDescent="0.3">
      <c r="B113" s="491" t="s">
        <v>371</v>
      </c>
      <c r="C113" s="1158" t="e">
        <f>IF(#REF!="ja",#REF!,0)</f>
        <v>#REF!</v>
      </c>
      <c r="D113" s="1159"/>
      <c r="E113" s="1275" t="e">
        <f>IF(#REF!="ja",#REF!+#REF!,0)</f>
        <v>#REF!</v>
      </c>
      <c r="F113" s="1159"/>
      <c r="G113" s="490" t="e">
        <f t="shared" si="5"/>
        <v>#REF!</v>
      </c>
    </row>
    <row r="114" spans="2:7" x14ac:dyDescent="0.3">
      <c r="B114" s="491" t="s">
        <v>372</v>
      </c>
      <c r="C114" s="1158" t="e">
        <f>IF(#REF!="ja",#REF!,0)</f>
        <v>#REF!</v>
      </c>
      <c r="D114" s="1159"/>
      <c r="E114" s="1275" t="e">
        <f>IF(#REF!="ja",#REF!+#REF!+#REF!+#REF!,0)</f>
        <v>#REF!</v>
      </c>
      <c r="F114" s="1159"/>
      <c r="G114" s="490" t="e">
        <f t="shared" si="5"/>
        <v>#REF!</v>
      </c>
    </row>
    <row r="115" spans="2:7" x14ac:dyDescent="0.3">
      <c r="B115" s="491" t="s">
        <v>373</v>
      </c>
      <c r="C115" s="1158" t="e">
        <f>IF(#REF!="ja",#REF!,0)</f>
        <v>#REF!</v>
      </c>
      <c r="D115" s="1159"/>
      <c r="E115" s="1275" t="e">
        <f>IF(#REF!="ja",#REF!,0)</f>
        <v>#REF!</v>
      </c>
      <c r="F115" s="1159"/>
      <c r="G115" s="490" t="e">
        <f t="shared" si="5"/>
        <v>#REF!</v>
      </c>
    </row>
    <row r="116" spans="2:7" x14ac:dyDescent="0.3">
      <c r="B116" s="491" t="s">
        <v>374</v>
      </c>
      <c r="C116" s="1158" t="e">
        <f>IF(#REF!="ja",#REF!,0)</f>
        <v>#REF!</v>
      </c>
      <c r="D116" s="1159"/>
      <c r="E116" s="1275" t="e">
        <f>IF(#REF!="ja",#REF!,0)</f>
        <v>#REF!</v>
      </c>
      <c r="F116" s="1159"/>
      <c r="G116" s="490" t="e">
        <f t="shared" si="5"/>
        <v>#REF!</v>
      </c>
    </row>
    <row r="117" spans="2:7" x14ac:dyDescent="0.3">
      <c r="B117" s="491" t="s">
        <v>375</v>
      </c>
      <c r="C117" s="1158" t="e">
        <f>IF(#REF!="ja",#REF!,0)</f>
        <v>#REF!</v>
      </c>
      <c r="D117" s="1159"/>
      <c r="E117" s="1275" t="e">
        <f>IF(#REF!="ja",#REF!+#REF!,0)</f>
        <v>#REF!</v>
      </c>
      <c r="F117" s="1159"/>
      <c r="G117" s="490" t="e">
        <f t="shared" si="5"/>
        <v>#REF!</v>
      </c>
    </row>
    <row r="118" spans="2:7" x14ac:dyDescent="0.3">
      <c r="B118" s="491" t="s">
        <v>376</v>
      </c>
      <c r="C118" s="1158" t="e">
        <f>IF(#REF!="ja",#REF!,0)</f>
        <v>#REF!</v>
      </c>
      <c r="D118" s="1159"/>
      <c r="E118" s="1275" t="e">
        <f>IF(#REF!="ja",#REF!,0)</f>
        <v>#REF!</v>
      </c>
      <c r="F118" s="1159"/>
      <c r="G118" s="490" t="e">
        <f t="shared" si="5"/>
        <v>#REF!</v>
      </c>
    </row>
    <row r="119" spans="2:7" x14ac:dyDescent="0.3">
      <c r="B119" s="492">
        <v>6</v>
      </c>
      <c r="C119" s="1158" t="e">
        <f>IF(#REF!="ja",#REF!,0)</f>
        <v>#REF!</v>
      </c>
      <c r="D119" s="1159"/>
      <c r="E119" s="1275" t="e">
        <f>IF(#REF!="ja",#REF!,0)</f>
        <v>#REF!</v>
      </c>
      <c r="F119" s="1159"/>
      <c r="G119" s="490" t="e">
        <f t="shared" si="5"/>
        <v>#REF!</v>
      </c>
    </row>
    <row r="120" spans="2:7" x14ac:dyDescent="0.3">
      <c r="B120" s="492">
        <v>7</v>
      </c>
      <c r="C120" s="1158" t="e">
        <f>IF(#REF!="ja",#REF!,0)</f>
        <v>#REF!</v>
      </c>
      <c r="D120" s="1159"/>
      <c r="E120" s="1275" t="e">
        <f>IF(#REF!="ja",#REF!,0)</f>
        <v>#REF!</v>
      </c>
      <c r="F120" s="1159"/>
      <c r="G120" s="490" t="e">
        <f t="shared" si="5"/>
        <v>#REF!</v>
      </c>
    </row>
    <row r="121" spans="2:7" x14ac:dyDescent="0.3">
      <c r="B121" s="492">
        <v>8</v>
      </c>
      <c r="C121" s="1158" t="e">
        <f>IF(#REF!="ja",#REF!,0)</f>
        <v>#REF!</v>
      </c>
      <c r="D121" s="1159"/>
      <c r="E121" s="1275" t="e">
        <f>IF(#REF!="ja",#REF!,0)</f>
        <v>#REF!</v>
      </c>
      <c r="F121" s="1159"/>
      <c r="G121" s="490" t="e">
        <f t="shared" si="5"/>
        <v>#REF!</v>
      </c>
    </row>
    <row r="122" spans="2:7" ht="15.2" thickBot="1" x14ac:dyDescent="0.35">
      <c r="B122" s="493">
        <v>9</v>
      </c>
      <c r="C122" s="1278" t="e">
        <f>IF(#REF!="ja",#REF!,0)</f>
        <v>#REF!</v>
      </c>
      <c r="D122" s="1279"/>
      <c r="E122" s="1280" t="e">
        <f>IF(#REF!="ja",#REF!,0)</f>
        <v>#REF!</v>
      </c>
      <c r="F122" s="1279"/>
      <c r="G122" s="490" t="e">
        <f t="shared" si="5"/>
        <v>#REF!</v>
      </c>
    </row>
    <row r="123" spans="2:7" ht="15.2" thickBot="1" x14ac:dyDescent="0.35">
      <c r="B123" s="494" t="s">
        <v>476</v>
      </c>
      <c r="C123" s="1216" t="e">
        <f>SUM(C109:D122)</f>
        <v>#REF!</v>
      </c>
      <c r="D123" s="1217"/>
      <c r="E123" s="1220" t="e">
        <f>SUM(E109:F122)</f>
        <v>#REF!</v>
      </c>
      <c r="F123" s="1221"/>
    </row>
    <row r="124" spans="2:7" ht="15.2" thickBot="1" x14ac:dyDescent="0.35"/>
    <row r="125" spans="2:7" ht="15.2" thickBot="1" x14ac:dyDescent="0.35">
      <c r="B125" s="495" t="s">
        <v>380</v>
      </c>
      <c r="C125" s="1250" t="e">
        <f>C123*#REF!+C123</f>
        <v>#REF!</v>
      </c>
      <c r="D125" s="1251"/>
      <c r="E125" s="1250" t="e">
        <f>#REF!</f>
        <v>#REF!</v>
      </c>
      <c r="F125" s="1251"/>
    </row>
    <row r="128" spans="2:7" x14ac:dyDescent="0.3">
      <c r="B128" s="384" t="s">
        <v>479</v>
      </c>
      <c r="D128" s="496">
        <f>Überblick!G97</f>
        <v>0.19</v>
      </c>
    </row>
    <row r="130" spans="2:17" ht="15.2" thickBot="1" x14ac:dyDescent="0.35">
      <c r="B130" s="495" t="s">
        <v>478</v>
      </c>
      <c r="C130" s="1250" t="e">
        <f>C125*D128+C125</f>
        <v>#REF!</v>
      </c>
      <c r="D130" s="1251"/>
      <c r="E130" s="1250" t="e">
        <f>E125*D128+E125</f>
        <v>#REF!</v>
      </c>
      <c r="F130" s="1251"/>
    </row>
    <row r="132" spans="2:17" x14ac:dyDescent="0.3">
      <c r="B132" s="384" t="s">
        <v>480</v>
      </c>
      <c r="E132" s="1248" t="e">
        <f>C130+E130</f>
        <v>#REF!</v>
      </c>
      <c r="F132" s="1249"/>
    </row>
    <row r="133" spans="2:17" ht="15.2" thickBot="1" x14ac:dyDescent="0.35"/>
    <row r="134" spans="2:17" ht="15.2" thickBot="1" x14ac:dyDescent="0.35">
      <c r="B134" s="497" t="s">
        <v>115</v>
      </c>
      <c r="C134" s="498" t="s">
        <v>306</v>
      </c>
      <c r="D134" s="499" t="s">
        <v>307</v>
      </c>
      <c r="E134" s="499" t="s">
        <v>308</v>
      </c>
      <c r="F134" s="499" t="s">
        <v>309</v>
      </c>
      <c r="G134" s="499" t="s">
        <v>310</v>
      </c>
      <c r="H134" s="499" t="s">
        <v>311</v>
      </c>
      <c r="I134" s="499" t="s">
        <v>312</v>
      </c>
      <c r="J134" s="499" t="s">
        <v>313</v>
      </c>
      <c r="K134" s="499" t="s">
        <v>314</v>
      </c>
      <c r="L134" s="499" t="s">
        <v>315</v>
      </c>
      <c r="M134" s="499" t="s">
        <v>316</v>
      </c>
      <c r="N134" s="499" t="s">
        <v>317</v>
      </c>
      <c r="O134" s="499" t="s">
        <v>318</v>
      </c>
      <c r="P134" s="499" t="s">
        <v>379</v>
      </c>
      <c r="Q134" s="500" t="s">
        <v>380</v>
      </c>
    </row>
    <row r="135" spans="2:17" x14ac:dyDescent="0.3">
      <c r="B135" s="501">
        <f>IF(Überblick!$H$53&gt;=1,1,"")</f>
        <v>1</v>
      </c>
      <c r="C135" s="502" t="e">
        <f>IF($B135=#REF!,#REF!*#REF!+#REF!+#REF!,0)</f>
        <v>#REF!</v>
      </c>
      <c r="D135" s="503" t="e">
        <f>IF($B135=#REF!,#REF!*#REF!+#REF!+#REF!,0)</f>
        <v>#REF!</v>
      </c>
      <c r="E135" s="503" t="e">
        <f>IF($B135=#REF!,#REF!*#REF!+#REF!+#REF!,0)</f>
        <v>#REF!</v>
      </c>
      <c r="F135" s="503" t="e">
        <f>IF($B135=#REF!,#REF!*#REF!+#REF!+#REF!,0)</f>
        <v>#REF!</v>
      </c>
      <c r="G135" s="503" t="e">
        <f>IF($B135=#REF!,#REF!*#REF!+#REF!+#REF!+#REF!,0)</f>
        <v>#REF!</v>
      </c>
      <c r="H135" s="503" t="e">
        <f>IF($B135=#REF!,#REF!*#REF!+#REF!+#REF!+#REF!+#REF!+#REF!,0)</f>
        <v>#REF!</v>
      </c>
      <c r="I135" s="503" t="e">
        <f>IF($B135=#REF!,#REF!*#REF!+#REF!+#REF!,0)</f>
        <v>#REF!</v>
      </c>
      <c r="J135" s="503" t="e">
        <f>IF($B135=#REF!,#REF!*#REF!+#REF!+#REF!,0)</f>
        <v>#REF!</v>
      </c>
      <c r="K135" s="503" t="e">
        <f>IF($B135=#REF!,#REF!*#REF!+#REF!+#REF!++#REF!,0)</f>
        <v>#REF!</v>
      </c>
      <c r="L135" s="503" t="e">
        <f>IF($B135=#REF!,#REF!*#REF!+#REF!+#REF!,0)</f>
        <v>#REF!</v>
      </c>
      <c r="M135" s="503" t="e">
        <f>IF($B135=#REF!,#REF!*#REF!+#REF!+#REF!,0)</f>
        <v>#REF!</v>
      </c>
      <c r="N135" s="503" t="e">
        <f>IF($B135=#REF!,#REF!*#REF!+#REF!+#REF!,0)</f>
        <v>#REF!</v>
      </c>
      <c r="O135" s="503" t="e">
        <f>IF($B135=#REF!,#REF!*#REF!+#REF!+#REF!,0)</f>
        <v>#REF!</v>
      </c>
      <c r="P135" s="503" t="e">
        <f>IF($B135=#REF!,#REF!*#REF!+#REF!+#REF!,0)</f>
        <v>#REF!</v>
      </c>
      <c r="Q135" s="504" t="e">
        <f>SUM(C135:P135)</f>
        <v>#REF!</v>
      </c>
    </row>
    <row r="136" spans="2:17" x14ac:dyDescent="0.3">
      <c r="B136" s="505">
        <f>IF(Überblick!$H$53&gt;=2,2,"")</f>
        <v>2</v>
      </c>
      <c r="C136" s="506" t="e">
        <f>IF($B136=#REF!,#REF!*#REF!+#REF!+#REF!,0)</f>
        <v>#REF!</v>
      </c>
      <c r="D136" s="507" t="e">
        <f>IF($B136=#REF!,#REF!*#REF!+#REF!+#REF!,0)</f>
        <v>#REF!</v>
      </c>
      <c r="E136" s="507" t="e">
        <f>IF($B136=#REF!,#REF!*#REF!+#REF!+#REF!,0)</f>
        <v>#REF!</v>
      </c>
      <c r="F136" s="507" t="e">
        <f>IF($B136=#REF!,#REF!*#REF!+#REF!+#REF!,0)</f>
        <v>#REF!</v>
      </c>
      <c r="G136" s="507" t="e">
        <f>IF($B136=#REF!,#REF!*#REF!+#REF!+#REF!+#REF!,0)</f>
        <v>#REF!</v>
      </c>
      <c r="H136" s="507" t="e">
        <f>IF($B136=#REF!,#REF!*#REF!+#REF!+#REF!+#REF!+#REF!+#REF!,0)</f>
        <v>#REF!</v>
      </c>
      <c r="I136" s="507" t="e">
        <f>IF($B136=#REF!,#REF!*#REF!+#REF!+#REF!,0)</f>
        <v>#REF!</v>
      </c>
      <c r="J136" s="507" t="e">
        <f>IF($B136=#REF!,#REF!*#REF!+#REF!+#REF!,0)</f>
        <v>#REF!</v>
      </c>
      <c r="K136" s="507" t="e">
        <f>IF($B136=#REF!,#REF!*#REF!+#REF!+#REF!++#REF!,0)</f>
        <v>#REF!</v>
      </c>
      <c r="L136" s="507" t="e">
        <f>IF($B136=#REF!,#REF!*#REF!+#REF!+#REF!,0)</f>
        <v>#REF!</v>
      </c>
      <c r="M136" s="507" t="e">
        <f>IF($B136=#REF!,#REF!*#REF!+#REF!+#REF!,0)</f>
        <v>#REF!</v>
      </c>
      <c r="N136" s="507" t="e">
        <f>IF($B136=#REF!,#REF!*#REF!+#REF!+#REF!,0)</f>
        <v>#REF!</v>
      </c>
      <c r="O136" s="507" t="e">
        <f>IF($B136=#REF!,#REF!*#REF!+#REF!+#REF!,0)</f>
        <v>#REF!</v>
      </c>
      <c r="P136" s="507" t="e">
        <f>IF($B136=#REF!,#REF!*#REF!+#REF!+#REF!,0)</f>
        <v>#REF!</v>
      </c>
      <c r="Q136" s="508" t="e">
        <f t="shared" ref="Q136:Q142" si="6">SUM(C136:P136)</f>
        <v>#REF!</v>
      </c>
    </row>
    <row r="137" spans="2:17" x14ac:dyDescent="0.3">
      <c r="B137" s="505">
        <f>IF(Überblick!$H$53&gt;=3,3,"")</f>
        <v>3</v>
      </c>
      <c r="C137" s="506" t="e">
        <f>IF($B137=#REF!,#REF!*#REF!+#REF!+#REF!,0)</f>
        <v>#REF!</v>
      </c>
      <c r="D137" s="507" t="e">
        <f>IF($B137=#REF!,#REF!*#REF!+#REF!+#REF!,0)</f>
        <v>#REF!</v>
      </c>
      <c r="E137" s="507" t="e">
        <f>IF($B137=#REF!,#REF!*#REF!+#REF!+#REF!,0)</f>
        <v>#REF!</v>
      </c>
      <c r="F137" s="507" t="e">
        <f>IF($B137=#REF!,#REF!*#REF!+#REF!+#REF!,0)</f>
        <v>#REF!</v>
      </c>
      <c r="G137" s="507" t="e">
        <f>IF($B137=#REF!,#REF!*#REF!+#REF!+#REF!+#REF!,0)</f>
        <v>#REF!</v>
      </c>
      <c r="H137" s="507" t="e">
        <f>IF($B137=#REF!,#REF!*#REF!+#REF!+#REF!+#REF!+#REF!+#REF!,0)</f>
        <v>#REF!</v>
      </c>
      <c r="I137" s="507" t="e">
        <f>IF($B137=#REF!,#REF!*#REF!+#REF!+#REF!,0)</f>
        <v>#REF!</v>
      </c>
      <c r="J137" s="507" t="e">
        <f>IF($B137=#REF!,#REF!*#REF!+#REF!+#REF!,0)</f>
        <v>#REF!</v>
      </c>
      <c r="K137" s="507" t="e">
        <f>IF($B137=#REF!,#REF!*#REF!+#REF!+#REF!++#REF!,0)</f>
        <v>#REF!</v>
      </c>
      <c r="L137" s="507" t="e">
        <f>IF($B137=#REF!,#REF!*#REF!+#REF!+#REF!,0)</f>
        <v>#REF!</v>
      </c>
      <c r="M137" s="507" t="e">
        <f>IF($B137=#REF!,#REF!*#REF!+#REF!+#REF!,0)</f>
        <v>#REF!</v>
      </c>
      <c r="N137" s="507" t="e">
        <f>IF($B137=#REF!,#REF!*#REF!+#REF!+#REF!,0)</f>
        <v>#REF!</v>
      </c>
      <c r="O137" s="507" t="e">
        <f>IF($B137=#REF!,#REF!*#REF!+#REF!+#REF!,0)</f>
        <v>#REF!</v>
      </c>
      <c r="P137" s="507" t="e">
        <f>IF($B137=#REF!,#REF!*#REF!+#REF!+#REF!,0)</f>
        <v>#REF!</v>
      </c>
      <c r="Q137" s="508" t="e">
        <f t="shared" si="6"/>
        <v>#REF!</v>
      </c>
    </row>
    <row r="138" spans="2:17" x14ac:dyDescent="0.3">
      <c r="B138" s="505" t="str">
        <f>IF(Überblick!$H$53&gt;=4,4,"")</f>
        <v/>
      </c>
      <c r="C138" s="506" t="e">
        <f>IF($B138=#REF!,#REF!*#REF!+#REF!+#REF!,0)</f>
        <v>#REF!</v>
      </c>
      <c r="D138" s="507" t="e">
        <f>IF($B138=#REF!,#REF!*#REF!+#REF!+#REF!,0)</f>
        <v>#REF!</v>
      </c>
      <c r="E138" s="507" t="e">
        <f>IF($B138=#REF!,#REF!*#REF!+#REF!+#REF!,0)</f>
        <v>#REF!</v>
      </c>
      <c r="F138" s="507" t="e">
        <f>IF($B138=#REF!,#REF!*#REF!+#REF!+#REF!,0)</f>
        <v>#REF!</v>
      </c>
      <c r="G138" s="507" t="e">
        <f>IF($B138=#REF!,#REF!*#REF!+#REF!+#REF!+#REF!,0)</f>
        <v>#REF!</v>
      </c>
      <c r="H138" s="507" t="e">
        <f>IF($B138=#REF!,#REF!*#REF!+#REF!+#REF!+#REF!+#REF!+#REF!,0)</f>
        <v>#REF!</v>
      </c>
      <c r="I138" s="507" t="e">
        <f>IF($B138=#REF!,#REF!*#REF!+#REF!+#REF!,0)</f>
        <v>#REF!</v>
      </c>
      <c r="J138" s="507" t="e">
        <f>IF($B138=#REF!,#REF!*#REF!+#REF!+#REF!,0)</f>
        <v>#REF!</v>
      </c>
      <c r="K138" s="507" t="e">
        <f>IF($B138=#REF!,#REF!*#REF!+#REF!+#REF!++#REF!,0)</f>
        <v>#REF!</v>
      </c>
      <c r="L138" s="507" t="e">
        <f>IF($B138=#REF!,#REF!*#REF!+#REF!+#REF!,0)</f>
        <v>#REF!</v>
      </c>
      <c r="M138" s="507" t="e">
        <f>IF($B138=#REF!,#REF!*#REF!+#REF!+#REF!,0)</f>
        <v>#REF!</v>
      </c>
      <c r="N138" s="507" t="e">
        <f>IF($B138=#REF!,#REF!*#REF!+#REF!+#REF!,0)</f>
        <v>#REF!</v>
      </c>
      <c r="O138" s="507" t="e">
        <f>IF($B138=#REF!,#REF!*#REF!+#REF!+#REF!,0)</f>
        <v>#REF!</v>
      </c>
      <c r="P138" s="507" t="e">
        <f>IF($B138=#REF!,#REF!*#REF!+#REF!+#REF!,0)</f>
        <v>#REF!</v>
      </c>
      <c r="Q138" s="508" t="e">
        <f t="shared" si="6"/>
        <v>#REF!</v>
      </c>
    </row>
    <row r="139" spans="2:17" x14ac:dyDescent="0.3">
      <c r="B139" s="505" t="str">
        <f>IF(Überblick!$H$53&gt;=5,5,"")</f>
        <v/>
      </c>
      <c r="C139" s="506" t="e">
        <f>IF($B139=#REF!,#REF!*#REF!+#REF!+#REF!,0)</f>
        <v>#REF!</v>
      </c>
      <c r="D139" s="507" t="e">
        <f>IF($B139=#REF!,#REF!*#REF!+#REF!+#REF!,0)</f>
        <v>#REF!</v>
      </c>
      <c r="E139" s="507" t="e">
        <f>IF($B139=#REF!,#REF!*#REF!+#REF!+#REF!,0)</f>
        <v>#REF!</v>
      </c>
      <c r="F139" s="507" t="e">
        <f>IF($B139=#REF!,#REF!*#REF!+#REF!+#REF!,0)</f>
        <v>#REF!</v>
      </c>
      <c r="G139" s="507" t="e">
        <f>IF($B139=#REF!,#REF!*#REF!+#REF!+#REF!+#REF!,0)</f>
        <v>#REF!</v>
      </c>
      <c r="H139" s="507" t="e">
        <f>IF($B139=#REF!,#REF!*#REF!+#REF!+#REF!+#REF!+#REF!+#REF!,0)</f>
        <v>#REF!</v>
      </c>
      <c r="I139" s="507" t="e">
        <f>IF($B139=#REF!,#REF!*#REF!+#REF!+#REF!,0)</f>
        <v>#REF!</v>
      </c>
      <c r="J139" s="507" t="e">
        <f>IF($B139=#REF!,#REF!*#REF!+#REF!+#REF!,0)</f>
        <v>#REF!</v>
      </c>
      <c r="K139" s="507" t="e">
        <f>IF($B139=#REF!,#REF!*#REF!+#REF!+#REF!++#REF!,0)</f>
        <v>#REF!</v>
      </c>
      <c r="L139" s="507" t="e">
        <f>IF($B139=#REF!,#REF!*#REF!+#REF!+#REF!,0)</f>
        <v>#REF!</v>
      </c>
      <c r="M139" s="507" t="e">
        <f>IF($B139=#REF!,#REF!*#REF!+#REF!+#REF!,0)</f>
        <v>#REF!</v>
      </c>
      <c r="N139" s="507" t="e">
        <f>IF($B139=#REF!,#REF!*#REF!+#REF!+#REF!,0)</f>
        <v>#REF!</v>
      </c>
      <c r="O139" s="507" t="e">
        <f>IF($B139=#REF!,#REF!*#REF!+#REF!+#REF!,0)</f>
        <v>#REF!</v>
      </c>
      <c r="P139" s="507" t="e">
        <f>IF($B139=#REF!,#REF!*#REF!+#REF!+#REF!,0)</f>
        <v>#REF!</v>
      </c>
      <c r="Q139" s="508" t="e">
        <f t="shared" si="6"/>
        <v>#REF!</v>
      </c>
    </row>
    <row r="140" spans="2:17" x14ac:dyDescent="0.3">
      <c r="B140" s="505" t="str">
        <f>IF(Überblick!$H$53&gt;=6,6,"")</f>
        <v/>
      </c>
      <c r="C140" s="506" t="e">
        <f>IF($B140=#REF!,#REF!*#REF!+#REF!+#REF!,0)</f>
        <v>#REF!</v>
      </c>
      <c r="D140" s="507" t="e">
        <f>IF($B140=#REF!,#REF!*#REF!+#REF!+#REF!,0)</f>
        <v>#REF!</v>
      </c>
      <c r="E140" s="507" t="e">
        <f>IF($B140=#REF!,#REF!*#REF!+#REF!+#REF!,0)</f>
        <v>#REF!</v>
      </c>
      <c r="F140" s="507" t="e">
        <f>IF($B140=#REF!,#REF!*#REF!+#REF!+#REF!,0)</f>
        <v>#REF!</v>
      </c>
      <c r="G140" s="507" t="e">
        <f>IF($B140=#REF!,#REF!*#REF!+#REF!+#REF!+#REF!,0)</f>
        <v>#REF!</v>
      </c>
      <c r="H140" s="507" t="e">
        <f>IF($B140=#REF!,#REF!*#REF!+#REF!+#REF!+#REF!+#REF!+#REF!,0)</f>
        <v>#REF!</v>
      </c>
      <c r="I140" s="507" t="e">
        <f>IF($B140=#REF!,#REF!*#REF!+#REF!+#REF!,0)</f>
        <v>#REF!</v>
      </c>
      <c r="J140" s="507" t="e">
        <f>IF($B140=#REF!,#REF!*#REF!+#REF!+#REF!,0)</f>
        <v>#REF!</v>
      </c>
      <c r="K140" s="507" t="e">
        <f>IF($B140=#REF!,#REF!*#REF!+#REF!+#REF!++#REF!,0)</f>
        <v>#REF!</v>
      </c>
      <c r="L140" s="507" t="e">
        <f>IF($B140=#REF!,#REF!*#REF!+#REF!+#REF!,0)</f>
        <v>#REF!</v>
      </c>
      <c r="M140" s="507" t="e">
        <f>IF($B140=#REF!,#REF!*#REF!+#REF!+#REF!,0)</f>
        <v>#REF!</v>
      </c>
      <c r="N140" s="507" t="e">
        <f>IF($B140=#REF!,#REF!*#REF!+#REF!+#REF!,0)</f>
        <v>#REF!</v>
      </c>
      <c r="O140" s="507" t="e">
        <f>IF($B140=#REF!,#REF!*#REF!+#REF!+#REF!,0)</f>
        <v>#REF!</v>
      </c>
      <c r="P140" s="507" t="e">
        <f>IF($B140=#REF!,#REF!*#REF!+#REF!+#REF!,0)</f>
        <v>#REF!</v>
      </c>
      <c r="Q140" s="508" t="e">
        <f t="shared" si="6"/>
        <v>#REF!</v>
      </c>
    </row>
    <row r="141" spans="2:17" x14ac:dyDescent="0.3">
      <c r="B141" s="505" t="str">
        <f>IF(Überblick!$H$53&gt;=7,7,"")</f>
        <v/>
      </c>
      <c r="C141" s="506" t="e">
        <f>IF($B141=#REF!,#REF!*#REF!+#REF!+#REF!,0)</f>
        <v>#REF!</v>
      </c>
      <c r="D141" s="507" t="e">
        <f>IF($B141=#REF!,#REF!*#REF!+#REF!+#REF!,0)</f>
        <v>#REF!</v>
      </c>
      <c r="E141" s="507" t="e">
        <f>IF($B141=#REF!,#REF!*#REF!+#REF!+#REF!,0)</f>
        <v>#REF!</v>
      </c>
      <c r="F141" s="507" t="e">
        <f>IF($B141=#REF!,#REF!*#REF!+#REF!+#REF!,0)</f>
        <v>#REF!</v>
      </c>
      <c r="G141" s="507" t="e">
        <f>IF($B141=#REF!,#REF!*#REF!+#REF!+#REF!+#REF!,0)</f>
        <v>#REF!</v>
      </c>
      <c r="H141" s="507" t="e">
        <f>IF($B141=#REF!,#REF!*#REF!+#REF!+#REF!+#REF!+#REF!+#REF!,0)</f>
        <v>#REF!</v>
      </c>
      <c r="I141" s="507" t="e">
        <f>IF($B141=#REF!,#REF!*#REF!+#REF!+#REF!,0)</f>
        <v>#REF!</v>
      </c>
      <c r="J141" s="507" t="e">
        <f>IF($B141=#REF!,#REF!*#REF!+#REF!+#REF!,0)</f>
        <v>#REF!</v>
      </c>
      <c r="K141" s="507" t="e">
        <f>IF($B141=#REF!,#REF!*#REF!+#REF!+#REF!++#REF!,0)</f>
        <v>#REF!</v>
      </c>
      <c r="L141" s="507" t="e">
        <f>IF($B141=#REF!,#REF!*#REF!+#REF!+#REF!,0)</f>
        <v>#REF!</v>
      </c>
      <c r="M141" s="507" t="e">
        <f>IF($B141=#REF!,#REF!*#REF!+#REF!+#REF!,0)</f>
        <v>#REF!</v>
      </c>
      <c r="N141" s="507" t="e">
        <f>IF($B141=#REF!,#REF!*#REF!+#REF!+#REF!,0)</f>
        <v>#REF!</v>
      </c>
      <c r="O141" s="507" t="e">
        <f>IF($B141=#REF!,#REF!*#REF!+#REF!+#REF!,0)</f>
        <v>#REF!</v>
      </c>
      <c r="P141" s="507" t="e">
        <f>IF($B141=#REF!,#REF!*#REF!+#REF!+#REF!,0)</f>
        <v>#REF!</v>
      </c>
      <c r="Q141" s="508" t="e">
        <f t="shared" si="6"/>
        <v>#REF!</v>
      </c>
    </row>
    <row r="142" spans="2:17" x14ac:dyDescent="0.3">
      <c r="B142" s="505" t="str">
        <f>IF(Überblick!$H$53&gt;=8,8,"")</f>
        <v/>
      </c>
      <c r="C142" s="506" t="e">
        <f>IF($B142=#REF!,#REF!*#REF!+#REF!+#REF!,0)</f>
        <v>#REF!</v>
      </c>
      <c r="D142" s="507" t="e">
        <f>IF($B142=#REF!,#REF!*#REF!+#REF!+#REF!,0)</f>
        <v>#REF!</v>
      </c>
      <c r="E142" s="507" t="e">
        <f>IF($B142=#REF!,#REF!*#REF!+#REF!+#REF!,0)</f>
        <v>#REF!</v>
      </c>
      <c r="F142" s="507" t="e">
        <f>IF($B142=#REF!,#REF!*#REF!+#REF!+#REF!,0)</f>
        <v>#REF!</v>
      </c>
      <c r="G142" s="507" t="e">
        <f>IF($B142=#REF!,#REF!*#REF!+#REF!+#REF!+#REF!,0)</f>
        <v>#REF!</v>
      </c>
      <c r="H142" s="507" t="e">
        <f>IF($B142=#REF!,#REF!*#REF!+#REF!+#REF!+#REF!+#REF!+#REF!,0)</f>
        <v>#REF!</v>
      </c>
      <c r="I142" s="507" t="e">
        <f>IF($B142=#REF!,#REF!*#REF!+#REF!+#REF!,0)</f>
        <v>#REF!</v>
      </c>
      <c r="J142" s="507" t="e">
        <f>IF($B142=#REF!,#REF!*#REF!+#REF!+#REF!,0)</f>
        <v>#REF!</v>
      </c>
      <c r="K142" s="507" t="e">
        <f>IF($B142=#REF!,#REF!*#REF!+#REF!+#REF!++#REF!,0)</f>
        <v>#REF!</v>
      </c>
      <c r="L142" s="507" t="e">
        <f>IF($B142=#REF!,#REF!*#REF!+#REF!+#REF!,0)</f>
        <v>#REF!</v>
      </c>
      <c r="M142" s="507" t="e">
        <f>IF($B142=#REF!,#REF!*#REF!+#REF!+#REF!,0)</f>
        <v>#REF!</v>
      </c>
      <c r="N142" s="507" t="e">
        <f>IF($B142=#REF!,#REF!*#REF!+#REF!+#REF!,0)</f>
        <v>#REF!</v>
      </c>
      <c r="O142" s="507" t="e">
        <f>IF($B142=#REF!,#REF!*#REF!+#REF!+#REF!,0)</f>
        <v>#REF!</v>
      </c>
      <c r="P142" s="507" t="e">
        <f>IF($B142=#REF!,#REF!*#REF!+#REF!+#REF!,0)</f>
        <v>#REF!</v>
      </c>
      <c r="Q142" s="508" t="e">
        <f t="shared" si="6"/>
        <v>#REF!</v>
      </c>
    </row>
    <row r="143" spans="2:17" ht="15.2" thickBot="1" x14ac:dyDescent="0.35">
      <c r="B143" s="509" t="str">
        <f>IF(Überblick!$H$53&gt;=9,9,"")</f>
        <v/>
      </c>
      <c r="C143" s="510" t="e">
        <f>IF($B143=#REF!,#REF!*#REF!+#REF!+#REF!,0)</f>
        <v>#REF!</v>
      </c>
      <c r="D143" s="511" t="e">
        <f>IF($B143=#REF!,#REF!*#REF!+#REF!+#REF!,0)</f>
        <v>#REF!</v>
      </c>
      <c r="E143" s="511" t="e">
        <f>IF($B143=#REF!,#REF!*#REF!+#REF!+#REF!,0)</f>
        <v>#REF!</v>
      </c>
      <c r="F143" s="511" t="e">
        <f>IF($B143=#REF!,#REF!*#REF!+#REF!+#REF!,0)</f>
        <v>#REF!</v>
      </c>
      <c r="G143" s="511" t="e">
        <f>IF($B143=#REF!,#REF!*#REF!+#REF!+#REF!+#REF!,0)</f>
        <v>#REF!</v>
      </c>
      <c r="H143" s="511" t="e">
        <f>IF($B143=#REF!,#REF!*#REF!+#REF!+#REF!+#REF!+#REF!+#REF!,0)</f>
        <v>#REF!</v>
      </c>
      <c r="I143" s="511" t="e">
        <f>IF($B143=#REF!,#REF!*#REF!+#REF!+#REF!,0)</f>
        <v>#REF!</v>
      </c>
      <c r="J143" s="511" t="e">
        <f>IF($B143=#REF!,#REF!*#REF!+#REF!+#REF!,0)</f>
        <v>#REF!</v>
      </c>
      <c r="K143" s="511" t="e">
        <f>IF($B143=#REF!,#REF!*#REF!+#REF!+#REF!++#REF!,0)</f>
        <v>#REF!</v>
      </c>
      <c r="L143" s="511" t="e">
        <f>IF($B143=#REF!,#REF!*#REF!+#REF!+#REF!,0)</f>
        <v>#REF!</v>
      </c>
      <c r="M143" s="511" t="e">
        <f>IF($B143=#REF!,#REF!*#REF!+#REF!+#REF!,0)</f>
        <v>#REF!</v>
      </c>
      <c r="N143" s="511" t="e">
        <f>IF($B143=#REF!,#REF!*#REF!+#REF!+#REF!,0)</f>
        <v>#REF!</v>
      </c>
      <c r="O143" s="511" t="e">
        <f>IF($B143=#REF!,#REF!*#REF!+#REF!+#REF!,0)</f>
        <v>#REF!</v>
      </c>
      <c r="P143" s="511" t="e">
        <f>IF($B143=#REF!,#REF!*#REF!+#REF!+#REF!,0)</f>
        <v>#REF!</v>
      </c>
      <c r="Q143" s="512" t="e">
        <f t="shared" ref="Q143" si="7">SUM(C143:P143)</f>
        <v>#REF!</v>
      </c>
    </row>
    <row r="144" spans="2:17" x14ac:dyDescent="0.3">
      <c r="Q144" s="513" t="e">
        <f>SUM(Q135:Q143)</f>
        <v>#REF!</v>
      </c>
    </row>
    <row r="156" spans="2:4" x14ac:dyDescent="0.3">
      <c r="B156" s="514"/>
      <c r="C156" s="515"/>
      <c r="D156" s="516"/>
    </row>
  </sheetData>
  <mergeCells count="84">
    <mergeCell ref="E132:F132"/>
    <mergeCell ref="C123:D123"/>
    <mergeCell ref="E123:F123"/>
    <mergeCell ref="C125:D125"/>
    <mergeCell ref="E125:F125"/>
    <mergeCell ref="C130:D130"/>
    <mergeCell ref="E130:F130"/>
    <mergeCell ref="C120:D120"/>
    <mergeCell ref="E120:F120"/>
    <mergeCell ref="C121:D121"/>
    <mergeCell ref="E121:F121"/>
    <mergeCell ref="C122:D122"/>
    <mergeCell ref="E122:F122"/>
    <mergeCell ref="C117:D117"/>
    <mergeCell ref="E117:F117"/>
    <mergeCell ref="C118:D118"/>
    <mergeCell ref="E118:F118"/>
    <mergeCell ref="C119:D119"/>
    <mergeCell ref="E119:F119"/>
    <mergeCell ref="C114:D114"/>
    <mergeCell ref="E114:F114"/>
    <mergeCell ref="C115:D115"/>
    <mergeCell ref="E115:F115"/>
    <mergeCell ref="C116:D116"/>
    <mergeCell ref="E116:F116"/>
    <mergeCell ref="C111:D111"/>
    <mergeCell ref="E111:F111"/>
    <mergeCell ref="C112:D112"/>
    <mergeCell ref="E112:F112"/>
    <mergeCell ref="C113:D113"/>
    <mergeCell ref="E113:F113"/>
    <mergeCell ref="C110:D110"/>
    <mergeCell ref="E110:F110"/>
    <mergeCell ref="B95:E95"/>
    <mergeCell ref="B96:E96"/>
    <mergeCell ref="G104:H104"/>
    <mergeCell ref="C107:F107"/>
    <mergeCell ref="C108:D108"/>
    <mergeCell ref="E108:F108"/>
    <mergeCell ref="C109:D109"/>
    <mergeCell ref="E109:F109"/>
    <mergeCell ref="I104:J104"/>
    <mergeCell ref="K104:L104"/>
    <mergeCell ref="B105:E105"/>
    <mergeCell ref="B85:E85"/>
    <mergeCell ref="B86:E86"/>
    <mergeCell ref="B87:E87"/>
    <mergeCell ref="B88:E88"/>
    <mergeCell ref="B93:E93"/>
    <mergeCell ref="B94:E94"/>
    <mergeCell ref="E76:E77"/>
    <mergeCell ref="B64:E64"/>
    <mergeCell ref="G64:H64"/>
    <mergeCell ref="J64:K64"/>
    <mergeCell ref="B65:E65"/>
    <mergeCell ref="G65:H65"/>
    <mergeCell ref="J65:K65"/>
    <mergeCell ref="G69:H69"/>
    <mergeCell ref="I69:J69"/>
    <mergeCell ref="K69:L69"/>
    <mergeCell ref="E70:E71"/>
    <mergeCell ref="D76:D80"/>
    <mergeCell ref="D70:D74"/>
    <mergeCell ref="G50:H50"/>
    <mergeCell ref="J50:K50"/>
    <mergeCell ref="G52:G54"/>
    <mergeCell ref="G56:G60"/>
    <mergeCell ref="B62:E62"/>
    <mergeCell ref="G62:H62"/>
    <mergeCell ref="I62:J62"/>
    <mergeCell ref="K62:L62"/>
    <mergeCell ref="I2:J2"/>
    <mergeCell ref="C3:D3"/>
    <mergeCell ref="F3:G3"/>
    <mergeCell ref="I3:J3"/>
    <mergeCell ref="C5:D5"/>
    <mergeCell ref="F5:G5"/>
    <mergeCell ref="I5:J5"/>
    <mergeCell ref="B26:B44"/>
    <mergeCell ref="E26:E44"/>
    <mergeCell ref="H26:H44"/>
    <mergeCell ref="A2:A5"/>
    <mergeCell ref="C2:D2"/>
    <mergeCell ref="F2:G2"/>
  </mergeCells>
  <conditionalFormatting sqref="A6:A44">
    <cfRule type="colorScale" priority="7">
      <colorScale>
        <cfvo type="min"/>
        <cfvo type="percentile" val="50"/>
        <cfvo type="max"/>
        <color rgb="FF63BE7B"/>
        <color rgb="FFFFEB84"/>
        <color rgb="FFF8696B"/>
      </colorScale>
    </cfRule>
  </conditionalFormatting>
  <conditionalFormatting sqref="C6:C44">
    <cfRule type="colorScale" priority="6">
      <colorScale>
        <cfvo type="min"/>
        <cfvo type="percentile" val="50"/>
        <cfvo type="max"/>
        <color rgb="FF63BE7B"/>
        <color rgb="FFFFEB84"/>
        <color rgb="FFF8696B"/>
      </colorScale>
    </cfRule>
  </conditionalFormatting>
  <conditionalFormatting sqref="D6:D44">
    <cfRule type="colorScale" priority="5">
      <colorScale>
        <cfvo type="min"/>
        <cfvo type="percentile" val="50"/>
        <cfvo type="max"/>
        <color rgb="FF63BE7B"/>
        <color rgb="FFFFEB84"/>
        <color rgb="FFF8696B"/>
      </colorScale>
    </cfRule>
  </conditionalFormatting>
  <conditionalFormatting sqref="F6:F44">
    <cfRule type="colorScale" priority="4">
      <colorScale>
        <cfvo type="min"/>
        <cfvo type="percentile" val="50"/>
        <cfvo type="max"/>
        <color rgb="FF63BE7B"/>
        <color rgb="FFFFEB84"/>
        <color rgb="FFF8696B"/>
      </colorScale>
    </cfRule>
  </conditionalFormatting>
  <conditionalFormatting sqref="G6:G44">
    <cfRule type="colorScale" priority="3">
      <colorScale>
        <cfvo type="min"/>
        <cfvo type="percentile" val="50"/>
        <cfvo type="max"/>
        <color rgb="FF63BE7B"/>
        <color rgb="FFFFEB84"/>
        <color rgb="FFF8696B"/>
      </colorScale>
    </cfRule>
  </conditionalFormatting>
  <conditionalFormatting sqref="I6:I44">
    <cfRule type="colorScale" priority="2">
      <colorScale>
        <cfvo type="min"/>
        <cfvo type="percentile" val="50"/>
        <cfvo type="max"/>
        <color rgb="FF63BE7B"/>
        <color rgb="FFFFEB84"/>
        <color rgb="FFF8696B"/>
      </colorScale>
    </cfRule>
  </conditionalFormatting>
  <conditionalFormatting sqref="J6:J44">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213E-EBFC-475A-927D-54DA05D450CB}">
  <sheetPr>
    <tabColor rgb="FFFFC000"/>
  </sheetPr>
  <dimension ref="A1:Q156"/>
  <sheetViews>
    <sheetView workbookViewId="0"/>
  </sheetViews>
  <sheetFormatPr baseColWidth="10" defaultColWidth="11.44140625" defaultRowHeight="14.55" x14ac:dyDescent="0.3"/>
  <cols>
    <col min="1" max="1" width="25.109375" style="384" bestFit="1" customWidth="1"/>
    <col min="2" max="2" width="11.5546875" style="384" bestFit="1" customWidth="1"/>
    <col min="3" max="4" width="11.6640625" style="384" bestFit="1" customWidth="1"/>
    <col min="5" max="5" width="11.5546875" style="384" bestFit="1" customWidth="1"/>
    <col min="6" max="7" width="11.6640625" style="384" bestFit="1" customWidth="1"/>
    <col min="8" max="8" width="15" style="384" bestFit="1" customWidth="1"/>
    <col min="9" max="9" width="11.6640625" style="384" bestFit="1" customWidth="1"/>
    <col min="10" max="12" width="12" style="384" bestFit="1" customWidth="1"/>
    <col min="13" max="16" width="11.5546875" style="384" bestFit="1" customWidth="1"/>
    <col min="17" max="17" width="12"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ht="15" customHeight="1" x14ac:dyDescent="0.3">
      <c r="A2" s="1195" t="s">
        <v>321</v>
      </c>
      <c r="B2" s="390"/>
      <c r="C2" s="1200" t="s">
        <v>322</v>
      </c>
      <c r="D2" s="1201"/>
      <c r="E2" s="390"/>
      <c r="F2" s="1200" t="s">
        <v>323</v>
      </c>
      <c r="G2" s="1201"/>
      <c r="H2" s="390"/>
      <c r="I2" s="1200" t="s">
        <v>324</v>
      </c>
      <c r="J2" s="1201"/>
    </row>
    <row r="3" spans="1:13" ht="1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3">
        <v>2547</v>
      </c>
      <c r="G6" s="424">
        <v>2990</v>
      </c>
      <c r="H6" s="422"/>
      <c r="I6" s="423">
        <v>2990</v>
      </c>
      <c r="J6" s="424">
        <v>3405</v>
      </c>
    </row>
    <row r="7" spans="1:13" x14ac:dyDescent="0.3">
      <c r="A7" s="427">
        <v>10000</v>
      </c>
      <c r="B7" s="422"/>
      <c r="C7" s="428">
        <v>3689</v>
      </c>
      <c r="D7" s="429">
        <v>4408</v>
      </c>
      <c r="E7" s="422"/>
      <c r="F7" s="428">
        <v>4408</v>
      </c>
      <c r="G7" s="429">
        <v>5174</v>
      </c>
      <c r="H7" s="422"/>
      <c r="I7" s="428">
        <v>5174</v>
      </c>
      <c r="J7" s="429">
        <v>5893</v>
      </c>
    </row>
    <row r="8" spans="1:13" x14ac:dyDescent="0.3">
      <c r="A8" s="427">
        <v>15000</v>
      </c>
      <c r="B8" s="422"/>
      <c r="C8" s="428">
        <v>5084</v>
      </c>
      <c r="D8" s="429">
        <v>6075</v>
      </c>
      <c r="E8" s="422"/>
      <c r="F8" s="428">
        <v>6075</v>
      </c>
      <c r="G8" s="429">
        <v>7131</v>
      </c>
      <c r="H8" s="422"/>
      <c r="I8" s="428">
        <v>7131</v>
      </c>
      <c r="J8" s="429">
        <v>8122</v>
      </c>
    </row>
    <row r="9" spans="1:13" x14ac:dyDescent="0.3">
      <c r="A9" s="427">
        <v>25000</v>
      </c>
      <c r="B9" s="422"/>
      <c r="C9" s="428">
        <v>7615</v>
      </c>
      <c r="D9" s="429">
        <v>9098</v>
      </c>
      <c r="E9" s="422"/>
      <c r="F9" s="428">
        <v>9098</v>
      </c>
      <c r="G9" s="429">
        <v>10681</v>
      </c>
      <c r="H9" s="422"/>
      <c r="I9" s="428">
        <v>10681</v>
      </c>
      <c r="J9" s="429">
        <v>12164</v>
      </c>
    </row>
    <row r="10" spans="1:13" x14ac:dyDescent="0.3">
      <c r="A10" s="427">
        <v>35000</v>
      </c>
      <c r="B10" s="422"/>
      <c r="C10" s="428">
        <v>9934</v>
      </c>
      <c r="D10" s="429">
        <v>11869</v>
      </c>
      <c r="E10" s="422"/>
      <c r="F10" s="428">
        <v>11869</v>
      </c>
      <c r="G10" s="429">
        <v>13934</v>
      </c>
      <c r="H10" s="422"/>
      <c r="I10" s="428">
        <v>13934</v>
      </c>
      <c r="J10" s="429">
        <v>15869</v>
      </c>
    </row>
    <row r="11" spans="1:13" x14ac:dyDescent="0.3">
      <c r="A11" s="427">
        <v>50000</v>
      </c>
      <c r="B11" s="422"/>
      <c r="C11" s="428">
        <v>13165</v>
      </c>
      <c r="D11" s="429">
        <v>15729</v>
      </c>
      <c r="E11" s="422"/>
      <c r="F11" s="428">
        <v>15729</v>
      </c>
      <c r="G11" s="429">
        <v>18465</v>
      </c>
      <c r="H11" s="422"/>
      <c r="I11" s="428">
        <v>18465</v>
      </c>
      <c r="J11" s="429">
        <v>21029</v>
      </c>
    </row>
    <row r="12" spans="1:13" x14ac:dyDescent="0.3">
      <c r="A12" s="427">
        <v>75000</v>
      </c>
      <c r="B12" s="422"/>
      <c r="C12" s="428">
        <v>18122</v>
      </c>
      <c r="D12" s="429">
        <v>21652</v>
      </c>
      <c r="E12" s="422"/>
      <c r="F12" s="428">
        <v>21652</v>
      </c>
      <c r="G12" s="429">
        <v>25418</v>
      </c>
      <c r="H12" s="422"/>
      <c r="I12" s="428">
        <v>25418</v>
      </c>
      <c r="J12" s="429">
        <v>28948</v>
      </c>
    </row>
    <row r="13" spans="1:13" x14ac:dyDescent="0.3">
      <c r="A13" s="427">
        <v>100000</v>
      </c>
      <c r="B13" s="422"/>
      <c r="C13" s="428">
        <v>22723</v>
      </c>
      <c r="D13" s="429">
        <v>27150</v>
      </c>
      <c r="E13" s="422"/>
      <c r="F13" s="428">
        <v>27150</v>
      </c>
      <c r="G13" s="429">
        <v>31872</v>
      </c>
      <c r="H13" s="422"/>
      <c r="I13" s="428">
        <v>31872</v>
      </c>
      <c r="J13" s="429">
        <v>36299</v>
      </c>
    </row>
    <row r="14" spans="1:13" x14ac:dyDescent="0.3">
      <c r="A14" s="427">
        <v>150000</v>
      </c>
      <c r="B14" s="422"/>
      <c r="C14" s="428">
        <v>31228</v>
      </c>
      <c r="D14" s="429">
        <v>37311</v>
      </c>
      <c r="E14" s="422"/>
      <c r="F14" s="428">
        <v>37311</v>
      </c>
      <c r="G14" s="429">
        <v>43800</v>
      </c>
      <c r="H14" s="422"/>
      <c r="I14" s="428">
        <v>43800</v>
      </c>
      <c r="J14" s="429">
        <v>49883</v>
      </c>
    </row>
    <row r="15" spans="1:13" x14ac:dyDescent="0.3">
      <c r="A15" s="427">
        <v>250000</v>
      </c>
      <c r="B15" s="422"/>
      <c r="C15" s="428">
        <v>46640</v>
      </c>
      <c r="D15" s="429">
        <v>55726</v>
      </c>
      <c r="E15" s="422"/>
      <c r="F15" s="428">
        <v>55726</v>
      </c>
      <c r="G15" s="429">
        <v>65418</v>
      </c>
      <c r="H15" s="422"/>
      <c r="I15" s="428">
        <v>65418</v>
      </c>
      <c r="J15" s="429">
        <v>74504</v>
      </c>
    </row>
    <row r="16" spans="1:13" x14ac:dyDescent="0.3">
      <c r="A16" s="427">
        <v>500000</v>
      </c>
      <c r="B16" s="422"/>
      <c r="C16" s="428">
        <v>80684</v>
      </c>
      <c r="D16" s="429">
        <v>96402</v>
      </c>
      <c r="E16" s="422"/>
      <c r="F16" s="428">
        <v>96402</v>
      </c>
      <c r="G16" s="429">
        <v>113168</v>
      </c>
      <c r="H16" s="422"/>
      <c r="I16" s="428">
        <v>113168</v>
      </c>
      <c r="J16" s="429">
        <v>128886</v>
      </c>
    </row>
    <row r="17" spans="1:10" x14ac:dyDescent="0.3">
      <c r="A17" s="427">
        <v>750000</v>
      </c>
      <c r="B17" s="422"/>
      <c r="C17" s="428">
        <v>111105</v>
      </c>
      <c r="D17" s="429">
        <v>132749</v>
      </c>
      <c r="E17" s="422"/>
      <c r="F17" s="428">
        <v>132749</v>
      </c>
      <c r="G17" s="429">
        <v>155836</v>
      </c>
      <c r="H17" s="422"/>
      <c r="I17" s="428">
        <v>155836</v>
      </c>
      <c r="J17" s="429">
        <v>177480</v>
      </c>
    </row>
    <row r="18" spans="1:10" x14ac:dyDescent="0.3">
      <c r="A18" s="427">
        <v>1000000</v>
      </c>
      <c r="B18" s="422"/>
      <c r="C18" s="428">
        <v>139347</v>
      </c>
      <c r="D18" s="429">
        <v>166493</v>
      </c>
      <c r="E18" s="422"/>
      <c r="F18" s="428">
        <v>166493</v>
      </c>
      <c r="G18" s="429">
        <v>195448</v>
      </c>
      <c r="H18" s="422"/>
      <c r="I18" s="428">
        <v>195448</v>
      </c>
      <c r="J18" s="429">
        <v>222594</v>
      </c>
    </row>
    <row r="19" spans="1:10" x14ac:dyDescent="0.3">
      <c r="A19" s="427">
        <v>1250000</v>
      </c>
      <c r="B19" s="422"/>
      <c r="C19" s="428">
        <v>166043</v>
      </c>
      <c r="D19" s="429">
        <v>198389</v>
      </c>
      <c r="E19" s="422"/>
      <c r="F19" s="428">
        <v>198389</v>
      </c>
      <c r="G19" s="429">
        <v>232891</v>
      </c>
      <c r="H19" s="422"/>
      <c r="I19" s="428">
        <v>232891</v>
      </c>
      <c r="J19" s="429">
        <v>265237</v>
      </c>
    </row>
    <row r="20" spans="1:10" x14ac:dyDescent="0.3">
      <c r="A20" s="427">
        <v>1500000</v>
      </c>
      <c r="B20" s="422"/>
      <c r="C20" s="428">
        <v>191545</v>
      </c>
      <c r="D20" s="429">
        <v>228859</v>
      </c>
      <c r="E20" s="422"/>
      <c r="F20" s="428">
        <v>228859</v>
      </c>
      <c r="G20" s="429">
        <v>268660</v>
      </c>
      <c r="H20" s="422"/>
      <c r="I20" s="428">
        <v>268660</v>
      </c>
      <c r="J20" s="429">
        <v>305974</v>
      </c>
    </row>
    <row r="21" spans="1:10" x14ac:dyDescent="0.3">
      <c r="A21" s="427">
        <v>2000000</v>
      </c>
      <c r="B21" s="422"/>
      <c r="C21" s="428">
        <v>239792</v>
      </c>
      <c r="D21" s="429">
        <v>286504</v>
      </c>
      <c r="E21" s="422"/>
      <c r="F21" s="428">
        <v>286504</v>
      </c>
      <c r="G21" s="429">
        <v>336331</v>
      </c>
      <c r="H21" s="422"/>
      <c r="I21" s="428">
        <v>336331</v>
      </c>
      <c r="J21" s="429">
        <v>383044</v>
      </c>
    </row>
    <row r="22" spans="1:10" x14ac:dyDescent="0.3">
      <c r="A22" s="427">
        <v>2500000</v>
      </c>
      <c r="B22" s="422"/>
      <c r="C22" s="428">
        <v>285649</v>
      </c>
      <c r="D22" s="429">
        <v>341295</v>
      </c>
      <c r="E22" s="422"/>
      <c r="F22" s="428">
        <v>341295</v>
      </c>
      <c r="G22" s="429">
        <v>400650</v>
      </c>
      <c r="H22" s="422"/>
      <c r="I22" s="428">
        <v>400650</v>
      </c>
      <c r="J22" s="429">
        <v>456296</v>
      </c>
    </row>
    <row r="23" spans="1:10" x14ac:dyDescent="0.3">
      <c r="A23" s="427">
        <v>3000000</v>
      </c>
      <c r="B23" s="422"/>
      <c r="C23" s="428">
        <v>329420</v>
      </c>
      <c r="D23" s="429">
        <v>393593</v>
      </c>
      <c r="E23" s="422"/>
      <c r="F23" s="428">
        <v>393593</v>
      </c>
      <c r="G23" s="429">
        <v>462044</v>
      </c>
      <c r="H23" s="422"/>
      <c r="I23" s="428">
        <v>462044</v>
      </c>
      <c r="J23" s="429">
        <v>526217</v>
      </c>
    </row>
    <row r="24" spans="1:10" x14ac:dyDescent="0.3">
      <c r="A24" s="427">
        <v>3500000</v>
      </c>
      <c r="B24" s="422"/>
      <c r="C24" s="428">
        <v>371491</v>
      </c>
      <c r="D24" s="429">
        <v>443859</v>
      </c>
      <c r="E24" s="422"/>
      <c r="F24" s="428">
        <v>443859</v>
      </c>
      <c r="G24" s="429">
        <v>521052</v>
      </c>
      <c r="H24" s="422"/>
      <c r="I24" s="428">
        <v>521052</v>
      </c>
      <c r="J24" s="429">
        <v>593420</v>
      </c>
    </row>
    <row r="25" spans="1:10" ht="15.2" thickBot="1" x14ac:dyDescent="0.35">
      <c r="A25" s="427">
        <v>4000000</v>
      </c>
      <c r="B25" s="431"/>
      <c r="C25" s="428">
        <v>412126</v>
      </c>
      <c r="D25" s="429">
        <v>492410</v>
      </c>
      <c r="E25" s="432"/>
      <c r="F25" s="428">
        <v>492410</v>
      </c>
      <c r="G25" s="429">
        <v>578046</v>
      </c>
      <c r="H25" s="422"/>
      <c r="I25" s="428">
        <v>578046</v>
      </c>
      <c r="J25" s="429">
        <v>658331</v>
      </c>
    </row>
    <row r="26" spans="1:10" x14ac:dyDescent="0.3">
      <c r="A26" s="427">
        <v>5000000</v>
      </c>
      <c r="B26" s="1255" t="s">
        <v>334</v>
      </c>
      <c r="C26" s="428">
        <v>491179</v>
      </c>
      <c r="D26" s="429">
        <v>586864</v>
      </c>
      <c r="E26" s="1255" t="s">
        <v>334</v>
      </c>
      <c r="F26" s="428">
        <f>D26</f>
        <v>586864</v>
      </c>
      <c r="G26" s="429">
        <v>688927</v>
      </c>
      <c r="H26" s="1255" t="s">
        <v>334</v>
      </c>
      <c r="I26" s="428">
        <f>G26</f>
        <v>688927</v>
      </c>
      <c r="J26" s="429">
        <v>784611</v>
      </c>
    </row>
    <row r="27" spans="1:10" x14ac:dyDescent="0.3">
      <c r="A27" s="427">
        <v>6000000</v>
      </c>
      <c r="B27" s="1256"/>
      <c r="C27" s="428">
        <v>566898</v>
      </c>
      <c r="D27" s="429">
        <v>677333</v>
      </c>
      <c r="E27" s="1256"/>
      <c r="F27" s="428">
        <f>D27</f>
        <v>677333</v>
      </c>
      <c r="G27" s="429">
        <v>795130</v>
      </c>
      <c r="H27" s="1256"/>
      <c r="I27" s="428">
        <f>G27</f>
        <v>795130</v>
      </c>
      <c r="J27" s="429">
        <v>905564</v>
      </c>
    </row>
    <row r="28" spans="1:10" x14ac:dyDescent="0.3">
      <c r="A28" s="427">
        <v>7000000</v>
      </c>
      <c r="B28" s="1256"/>
      <c r="C28" s="428">
        <v>639950</v>
      </c>
      <c r="D28" s="429">
        <v>764616</v>
      </c>
      <c r="E28" s="1256"/>
      <c r="F28" s="428">
        <f t="shared" ref="F28:F44" si="0">D28</f>
        <v>764616</v>
      </c>
      <c r="G28" s="429">
        <v>897593</v>
      </c>
      <c r="H28" s="1256"/>
      <c r="I28" s="428">
        <f t="shared" ref="I28:I44" si="1">G28</f>
        <v>897593</v>
      </c>
      <c r="J28" s="429">
        <v>1022258</v>
      </c>
    </row>
    <row r="29" spans="1:10" x14ac:dyDescent="0.3">
      <c r="A29" s="427">
        <v>8000000</v>
      </c>
      <c r="B29" s="1256"/>
      <c r="C29" s="428">
        <v>710795</v>
      </c>
      <c r="D29" s="429">
        <v>849261</v>
      </c>
      <c r="E29" s="1256"/>
      <c r="F29" s="428">
        <f t="shared" si="0"/>
        <v>849261</v>
      </c>
      <c r="G29" s="429">
        <v>996959</v>
      </c>
      <c r="H29" s="1256"/>
      <c r="I29" s="428">
        <f t="shared" si="1"/>
        <v>996959</v>
      </c>
      <c r="J29" s="429">
        <v>1135425</v>
      </c>
    </row>
    <row r="30" spans="1:10" x14ac:dyDescent="0.3">
      <c r="A30" s="427">
        <v>9000000</v>
      </c>
      <c r="B30" s="1256"/>
      <c r="C30" s="428">
        <v>779763</v>
      </c>
      <c r="D30" s="429">
        <v>931665</v>
      </c>
      <c r="E30" s="1256"/>
      <c r="F30" s="428">
        <f t="shared" si="0"/>
        <v>931665</v>
      </c>
      <c r="G30" s="429">
        <v>1093694</v>
      </c>
      <c r="H30" s="1256"/>
      <c r="I30" s="428">
        <f t="shared" si="1"/>
        <v>1093694</v>
      </c>
      <c r="J30" s="429">
        <v>1245595</v>
      </c>
    </row>
    <row r="31" spans="1:10" x14ac:dyDescent="0.3">
      <c r="A31" s="427">
        <v>10000000</v>
      </c>
      <c r="B31" s="1256"/>
      <c r="C31" s="428">
        <v>847106</v>
      </c>
      <c r="D31" s="429">
        <v>1012127</v>
      </c>
      <c r="E31" s="1256"/>
      <c r="F31" s="428">
        <f t="shared" si="0"/>
        <v>1012127</v>
      </c>
      <c r="G31" s="429">
        <v>1188149</v>
      </c>
      <c r="H31" s="1256"/>
      <c r="I31" s="428">
        <f t="shared" si="1"/>
        <v>1188149</v>
      </c>
      <c r="J31" s="429">
        <v>1353170</v>
      </c>
    </row>
    <row r="32" spans="1:10" x14ac:dyDescent="0.3">
      <c r="A32" s="427">
        <v>12500000</v>
      </c>
      <c r="B32" s="1256"/>
      <c r="C32" s="428">
        <v>1009545</v>
      </c>
      <c r="D32" s="429">
        <v>1206209</v>
      </c>
      <c r="E32" s="1256"/>
      <c r="F32" s="428">
        <f t="shared" si="0"/>
        <v>1206209</v>
      </c>
      <c r="G32" s="429">
        <v>1415985</v>
      </c>
      <c r="H32" s="1256"/>
      <c r="I32" s="428">
        <f t="shared" si="1"/>
        <v>1415985</v>
      </c>
      <c r="J32" s="429">
        <v>1612649</v>
      </c>
    </row>
    <row r="33" spans="1:17" x14ac:dyDescent="0.3">
      <c r="A33" s="427">
        <v>15000000</v>
      </c>
      <c r="B33" s="1256"/>
      <c r="C33" s="428">
        <v>1165120</v>
      </c>
      <c r="D33" s="429">
        <v>1392092</v>
      </c>
      <c r="E33" s="1256"/>
      <c r="F33" s="428">
        <f t="shared" si="0"/>
        <v>1392092</v>
      </c>
      <c r="G33" s="429">
        <v>1634195</v>
      </c>
      <c r="H33" s="1256"/>
      <c r="I33" s="428">
        <f t="shared" si="1"/>
        <v>1634195</v>
      </c>
      <c r="J33" s="429">
        <v>1861166</v>
      </c>
    </row>
    <row r="34" spans="1:17" x14ac:dyDescent="0.3">
      <c r="A34" s="427">
        <v>17500000</v>
      </c>
      <c r="B34" s="1256"/>
      <c r="C34" s="428">
        <v>1315210</v>
      </c>
      <c r="D34" s="429">
        <v>1571419</v>
      </c>
      <c r="E34" s="1256"/>
      <c r="F34" s="428">
        <f t="shared" si="0"/>
        <v>1571419</v>
      </c>
      <c r="G34" s="429">
        <v>1844710</v>
      </c>
      <c r="H34" s="1256"/>
      <c r="I34" s="428">
        <f t="shared" si="1"/>
        <v>1844710</v>
      </c>
      <c r="J34" s="429">
        <v>2100919</v>
      </c>
    </row>
    <row r="35" spans="1:17" x14ac:dyDescent="0.3">
      <c r="A35" s="427">
        <v>20000000</v>
      </c>
      <c r="B35" s="1256"/>
      <c r="C35" s="428">
        <v>1460755</v>
      </c>
      <c r="D35" s="429">
        <v>1745318</v>
      </c>
      <c r="E35" s="1256"/>
      <c r="F35" s="428">
        <f t="shared" si="0"/>
        <v>1745318</v>
      </c>
      <c r="G35" s="429">
        <v>2048852</v>
      </c>
      <c r="H35" s="1256"/>
      <c r="I35" s="428">
        <f t="shared" si="1"/>
        <v>2048852</v>
      </c>
      <c r="J35" s="429">
        <v>2333414</v>
      </c>
    </row>
    <row r="36" spans="1:17" x14ac:dyDescent="0.3">
      <c r="A36" s="427">
        <v>25000000</v>
      </c>
      <c r="B36" s="1256"/>
      <c r="C36" s="428">
        <v>1740783</v>
      </c>
      <c r="D36" s="429">
        <v>2079896</v>
      </c>
      <c r="E36" s="1256"/>
      <c r="F36" s="428">
        <f t="shared" si="0"/>
        <v>2079896</v>
      </c>
      <c r="G36" s="429">
        <v>2441617</v>
      </c>
      <c r="H36" s="1256"/>
      <c r="I36" s="428">
        <f t="shared" si="1"/>
        <v>2441617</v>
      </c>
      <c r="J36" s="429">
        <v>2780731</v>
      </c>
    </row>
    <row r="37" spans="1:17" x14ac:dyDescent="0.3">
      <c r="A37" s="427">
        <v>30000000</v>
      </c>
      <c r="B37" s="1256"/>
      <c r="C37" s="428">
        <v>2008964</v>
      </c>
      <c r="D37" s="429">
        <v>2400321</v>
      </c>
      <c r="E37" s="1256"/>
      <c r="F37" s="428">
        <f t="shared" si="0"/>
        <v>2400321</v>
      </c>
      <c r="G37" s="429">
        <v>2817768</v>
      </c>
      <c r="H37" s="1256"/>
      <c r="I37" s="428">
        <f t="shared" si="1"/>
        <v>2817768</v>
      </c>
      <c r="J37" s="429">
        <v>3209125</v>
      </c>
    </row>
    <row r="38" spans="1:17" x14ac:dyDescent="0.3">
      <c r="A38" s="427">
        <v>40000000</v>
      </c>
      <c r="B38" s="1256"/>
      <c r="C38" s="428">
        <v>2518545</v>
      </c>
      <c r="D38" s="429">
        <v>3009171</v>
      </c>
      <c r="E38" s="1256"/>
      <c r="F38" s="428">
        <f t="shared" si="0"/>
        <v>3009171</v>
      </c>
      <c r="G38" s="429">
        <v>3532505</v>
      </c>
      <c r="H38" s="1256"/>
      <c r="I38" s="428">
        <f t="shared" si="1"/>
        <v>3532505</v>
      </c>
      <c r="J38" s="429">
        <v>4023130</v>
      </c>
    </row>
    <row r="39" spans="1:17" x14ac:dyDescent="0.3">
      <c r="A39" s="427">
        <v>50000000</v>
      </c>
      <c r="B39" s="1256"/>
      <c r="C39" s="428">
        <v>3001186</v>
      </c>
      <c r="D39" s="429">
        <v>3585832</v>
      </c>
      <c r="E39" s="1256"/>
      <c r="F39" s="428">
        <f t="shared" si="0"/>
        <v>3585832</v>
      </c>
      <c r="G39" s="429">
        <v>4209455</v>
      </c>
      <c r="H39" s="1256"/>
      <c r="I39" s="428">
        <f t="shared" si="1"/>
        <v>4209455</v>
      </c>
      <c r="J39" s="429">
        <v>4794102</v>
      </c>
    </row>
    <row r="40" spans="1:17" x14ac:dyDescent="0.3">
      <c r="A40" s="427">
        <v>75000000</v>
      </c>
      <c r="B40" s="1256"/>
      <c r="C40" s="428">
        <v>4126934</v>
      </c>
      <c r="D40" s="429">
        <v>4930882</v>
      </c>
      <c r="E40" s="1256"/>
      <c r="F40" s="428">
        <f t="shared" si="0"/>
        <v>4930882</v>
      </c>
      <c r="G40" s="429">
        <v>5788426</v>
      </c>
      <c r="H40" s="1256"/>
      <c r="I40" s="428">
        <f t="shared" si="1"/>
        <v>5788426</v>
      </c>
      <c r="J40" s="429">
        <v>6592374</v>
      </c>
    </row>
    <row r="41" spans="1:17" x14ac:dyDescent="0.3">
      <c r="A41" s="427">
        <v>100000000</v>
      </c>
      <c r="B41" s="1256"/>
      <c r="C41" s="428">
        <v>5173197</v>
      </c>
      <c r="D41" s="429">
        <v>6180963</v>
      </c>
      <c r="E41" s="1256"/>
      <c r="F41" s="428">
        <f t="shared" si="0"/>
        <v>6180963</v>
      </c>
      <c r="G41" s="429">
        <v>7255913</v>
      </c>
      <c r="H41" s="1256"/>
      <c r="I41" s="428">
        <f t="shared" si="1"/>
        <v>7255913</v>
      </c>
      <c r="J41" s="429">
        <v>8263678</v>
      </c>
    </row>
    <row r="42" spans="1:17" x14ac:dyDescent="0.3">
      <c r="A42" s="427">
        <v>150000000</v>
      </c>
      <c r="B42" s="1256"/>
      <c r="C42" s="428">
        <v>7112783</v>
      </c>
      <c r="D42" s="429">
        <v>8498390</v>
      </c>
      <c r="E42" s="1256"/>
      <c r="F42" s="428">
        <f t="shared" si="0"/>
        <v>8498390</v>
      </c>
      <c r="G42" s="429">
        <v>9976370</v>
      </c>
      <c r="H42" s="1256"/>
      <c r="I42" s="428">
        <f t="shared" si="1"/>
        <v>9976370</v>
      </c>
      <c r="J42" s="429">
        <v>11361977</v>
      </c>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row>
    <row r="45" spans="1:17" x14ac:dyDescent="0.3">
      <c r="A45" s="436"/>
      <c r="B45" s="431"/>
      <c r="C45" s="436"/>
      <c r="D45" s="436"/>
      <c r="E45" s="431"/>
      <c r="F45" s="436"/>
      <c r="G45" s="436"/>
      <c r="H45" s="431"/>
      <c r="I45" s="436"/>
      <c r="J45" s="436"/>
    </row>
    <row r="46" spans="1:17" s="445" customFormat="1" ht="26.25" customHeight="1" x14ac:dyDescent="0.3">
      <c r="A46" s="437"/>
      <c r="B46" s="438" t="s">
        <v>481</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t="e">
        <f>#REF!</f>
        <v>#REF!</v>
      </c>
      <c r="H62" s="1263"/>
      <c r="I62" s="1262" t="e">
        <f>#REF!</f>
        <v>#REF!</v>
      </c>
      <c r="J62" s="1263"/>
      <c r="K62" s="1262" t="e">
        <f>#REF!</f>
        <v>#REF!</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t="e">
        <f>#REF!</f>
        <v>#REF!</v>
      </c>
      <c r="H64" s="1182"/>
      <c r="J64" s="1258"/>
      <c r="K64" s="1258"/>
      <c r="L64" s="456"/>
      <c r="M64" s="459"/>
      <c r="N64" s="443"/>
      <c r="O64" s="443"/>
      <c r="P64" s="443"/>
      <c r="Q64" s="444"/>
    </row>
    <row r="65" spans="1:17" x14ac:dyDescent="0.3">
      <c r="A65" s="446"/>
      <c r="B65" s="1242" t="s">
        <v>338</v>
      </c>
      <c r="C65" s="1243"/>
      <c r="D65" s="1243"/>
      <c r="E65" s="1244"/>
      <c r="F65" s="458"/>
      <c r="G65" s="1181" t="e">
        <f>#REF!</f>
        <v>#REF!</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252" t="s">
        <v>337</v>
      </c>
      <c r="F70" s="460"/>
      <c r="G70" s="461" t="s">
        <v>349</v>
      </c>
      <c r="H70" s="462" t="e">
        <f>IF(G62&lt;$A$6,0,IF(G62&gt;$A$44,0,VLOOKUP(G62,$A$6:$A$44,1)))</f>
        <v>#REF!</v>
      </c>
      <c r="I70" s="461" t="s">
        <v>349</v>
      </c>
      <c r="J70" s="462" t="e">
        <f>IF(I62&lt;$A$6,0,IF(I62&gt;$A$44,0,VLOOKUP(I62,$A$6:$A$44,1)))</f>
        <v>#REF!</v>
      </c>
      <c r="K70" s="461" t="s">
        <v>349</v>
      </c>
      <c r="L70" s="462" t="e">
        <f>IF(K62&lt;$A$6,0,IF(K62&gt;$A$44,0,VLOOKUP(K62,$A$6:$A$44,1)))</f>
        <v>#REF!</v>
      </c>
      <c r="M70" s="74"/>
      <c r="N70" s="444"/>
      <c r="O70" s="444"/>
      <c r="P70" s="444"/>
      <c r="Q70" s="444"/>
    </row>
    <row r="71" spans="1:17" x14ac:dyDescent="0.3">
      <c r="A71" s="446"/>
      <c r="B71" s="449"/>
      <c r="C71" s="449"/>
      <c r="D71" s="1223"/>
      <c r="E71" s="1254"/>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387">
        <v>1</v>
      </c>
      <c r="F72" s="74"/>
      <c r="G72" s="462" t="e">
        <f>IF(G62&lt;$A$6,0,IF(G62&gt;$A$44,0,VLOOKUP(H70,$A$6:$J$44,3)))</f>
        <v>#REF!</v>
      </c>
      <c r="H72" s="462" t="e">
        <f>IF(G62&lt;$A$6,0,IF(G62&gt;$A$44,0,VLOOKUP(G72,$C$6:$D$44,2)))</f>
        <v>#REF!</v>
      </c>
      <c r="I72" s="462" t="e">
        <f>IF(I62&lt;$A$6,0,IF(I62&gt;$A$44,0,VLOOKUP(J70,$A$6:$J$44,3)))</f>
        <v>#REF!</v>
      </c>
      <c r="J72" s="462" t="e">
        <f>IF(I62&lt;$A$6,0,IF(I62&gt;$A$44,0,VLOOKUP(I72,$C$6:$D$44,2)))</f>
        <v>#REF!</v>
      </c>
      <c r="K72" s="462" t="e">
        <f>IF(K62&lt;$A$6,0,IF(K62&gt;$A$44,0,VLOOKUP(L70,$A$6:$J$44,3)))</f>
        <v>#REF!</v>
      </c>
      <c r="L72" s="462" t="e">
        <f>IF(K62&lt;$A$6,0,IF(K62&gt;$A$44,0,VLOOKUP(K72,$C$6:$D$44,2)))</f>
        <v>#REF!</v>
      </c>
      <c r="M72" s="460"/>
      <c r="N72" s="444"/>
      <c r="O72" s="444"/>
      <c r="P72" s="444"/>
      <c r="Q72" s="444"/>
    </row>
    <row r="73" spans="1:17" x14ac:dyDescent="0.3">
      <c r="A73" s="446"/>
      <c r="B73" s="449"/>
      <c r="C73" s="449"/>
      <c r="D73" s="1223"/>
      <c r="E73" s="387">
        <v>2</v>
      </c>
      <c r="F73" s="74"/>
      <c r="G73" s="462" t="e">
        <f>IF(G62&lt;$A$6,0,IF(G62&gt;$A$44,0,VLOOKUP(H70,$A$6:$J$44,6)))</f>
        <v>#REF!</v>
      </c>
      <c r="H73" s="462" t="e">
        <f>IF(G62&lt;$A$6,0,IF(G62&gt;$A$44,0,VLOOKUP(G73,$F$6:$G$44,2)))</f>
        <v>#REF!</v>
      </c>
      <c r="I73" s="462" t="e">
        <f>IF(I62&lt;$A$6,0,IF(I62&gt;$A$44,0,VLOOKUP(J70,$A$6:$J$44,6)))</f>
        <v>#REF!</v>
      </c>
      <c r="J73" s="462" t="e">
        <f>IF(I62&lt;$A$6,0,IF(I62&gt;$A$44,0,VLOOKUP(I73,$F$6:$G$44,2)))</f>
        <v>#REF!</v>
      </c>
      <c r="K73" s="462" t="e">
        <f>IF(K62&lt;$A$6,0,IF(K62&gt;$A$44,0,VLOOKUP(L70,$A$6:$J$44,6)))</f>
        <v>#REF!</v>
      </c>
      <c r="L73" s="462" t="e">
        <f>IF(K62&lt;$A$6,0,IF(K62&gt;$A$44,0,VLOOKUP(K73,$F$6:$G$44,2)))</f>
        <v>#REF!</v>
      </c>
      <c r="M73" s="460"/>
      <c r="N73" s="444"/>
      <c r="O73" s="444"/>
      <c r="P73" s="444"/>
      <c r="Q73" s="444"/>
    </row>
    <row r="74" spans="1:17" x14ac:dyDescent="0.3">
      <c r="A74" s="446"/>
      <c r="B74" s="449"/>
      <c r="C74" s="449"/>
      <c r="D74" s="1224"/>
      <c r="E74" s="387">
        <v>3</v>
      </c>
      <c r="F74" s="74"/>
      <c r="G74" s="462" t="e">
        <f>IF(G62&lt;$A$6,0,IF(G62&gt;$A$44,0,VLOOKUP(H70,$A$6:$J$44,9)))</f>
        <v>#REF!</v>
      </c>
      <c r="H74" s="462" t="e">
        <f>IF(G62&lt;$A$6,0,IF(G62&gt;$A$44,0,VLOOKUP(G74,$I$6:$J$44,2)))</f>
        <v>#REF!</v>
      </c>
      <c r="I74" s="462" t="e">
        <f>IF(I62&lt;$A$6,0,IF(I62&gt;$A$44,0,VLOOKUP(J70,$A$6:$J$44,9)))</f>
        <v>#REF!</v>
      </c>
      <c r="J74" s="462" t="e">
        <f>IF(I62&lt;$A$6,0,IF(I62&gt;$A$44,0,VLOOKUP(I74,$I$6:$J$44,2)))</f>
        <v>#REF!</v>
      </c>
      <c r="K74" s="462" t="e">
        <f>IF(K62&lt;$A$6,0,IF(K62&gt;$A$44,0,VLOOKUP(L70,$A$6:$J$44,9)))</f>
        <v>#REF!</v>
      </c>
      <c r="L74" s="462" t="e">
        <f>IF(K62&lt;$A$6,0,IF(K62&gt;$A$44,0,VLOOKUP(K74,$I$6:$J$44,2)))</f>
        <v>#REF!</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252" t="s">
        <v>337</v>
      </c>
      <c r="F76" s="74"/>
      <c r="G76" s="461" t="s">
        <v>349</v>
      </c>
      <c r="H76" s="462" t="e">
        <f>IF(G62&lt;$A$6,0,IF(G62&gt;$A$44,0,INDEX($A$6:$A$44,MATCH(G62,$A$6:$A$44,1)+1,1)))</f>
        <v>#REF!</v>
      </c>
      <c r="I76" s="461" t="s">
        <v>349</v>
      </c>
      <c r="J76" s="462" t="e">
        <f>IF(I62&lt;$A$6,0,IF(I62&gt;$A$44,0,INDEX($A$6:$A$44,MATCH(I62,$A$6:$A$44,1)+1,1)))</f>
        <v>#REF!</v>
      </c>
      <c r="K76" s="461" t="s">
        <v>349</v>
      </c>
      <c r="L76" s="462" t="e">
        <f>IF(K62&lt;$A$6,0,IF(K62&gt;$A$44,0,INDEX($A$6:$A$44,MATCH(K62,$A$6:$A$44,1)+1,1)))</f>
        <v>#REF!</v>
      </c>
      <c r="M76" s="74"/>
      <c r="N76" s="444"/>
      <c r="O76" s="444"/>
      <c r="P76" s="444"/>
      <c r="Q76" s="444"/>
    </row>
    <row r="77" spans="1:17" x14ac:dyDescent="0.3">
      <c r="A77" s="446"/>
      <c r="B77" s="449"/>
      <c r="C77" s="449"/>
      <c r="D77" s="1223"/>
      <c r="E77" s="1254"/>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387">
        <v>1</v>
      </c>
      <c r="F78" s="74"/>
      <c r="G78" s="462" t="e">
        <f>IF(G62&lt;$A$6,0,IF(G62&gt;$A$44,0,VLOOKUP(H76,$A$6:$J$44,3)))</f>
        <v>#REF!</v>
      </c>
      <c r="H78" s="462" t="e">
        <f>IF(G62&lt;$A$6,0,IF(G62&gt;$A$44,0,VLOOKUP(G78,$C$6:$D$44,2)))</f>
        <v>#REF!</v>
      </c>
      <c r="I78" s="462" t="e">
        <f>IF(I62&lt;$A$6,0,IF(I62&gt;$A$44,0,VLOOKUP(J76,$A$6:$J$44,3)))</f>
        <v>#REF!</v>
      </c>
      <c r="J78" s="462" t="e">
        <f>IF(I62&lt;$A$6,0,IF(I62&gt;$A$44,0,VLOOKUP(I78,$C$6:$D$44,2)))</f>
        <v>#REF!</v>
      </c>
      <c r="K78" s="462" t="e">
        <f>IF(K62&lt;$A$6,0,IF(K62&gt;$A$44,0,VLOOKUP(L76,$A$6:$J$44,3)))</f>
        <v>#REF!</v>
      </c>
      <c r="L78" s="462" t="e">
        <f>IF(K62&lt;$A$6,0,IF(K62&gt;$A$44,0,VLOOKUP(K78,$C$6:$D$44,2)))</f>
        <v>#REF!</v>
      </c>
      <c r="M78" s="460"/>
      <c r="N78" s="444"/>
      <c r="O78" s="444"/>
      <c r="P78" s="444"/>
      <c r="Q78" s="444"/>
    </row>
    <row r="79" spans="1:17" x14ac:dyDescent="0.3">
      <c r="A79" s="446"/>
      <c r="B79" s="449"/>
      <c r="C79" s="449"/>
      <c r="D79" s="1223"/>
      <c r="E79" s="387">
        <v>2</v>
      </c>
      <c r="F79" s="74"/>
      <c r="G79" s="462" t="e">
        <f>IF(G62&lt;$A$6,0,IF(G62&gt;$A$44,0,VLOOKUP(H76,$A$6:$J$44,6)))</f>
        <v>#REF!</v>
      </c>
      <c r="H79" s="462" t="e">
        <f>IF(G62&lt;$A$6,0,IF(G62&gt;$A$44,0,VLOOKUP(G79,$F$6:$G$44,2)))</f>
        <v>#REF!</v>
      </c>
      <c r="I79" s="462" t="e">
        <f>IF(I62&lt;$A$6,0,IF(I62&gt;$A$44,0,VLOOKUP(J76,$A$6:$J$44,6)))</f>
        <v>#REF!</v>
      </c>
      <c r="J79" s="462" t="e">
        <f>IF(I62&lt;$A$6,0,IF(I62&gt;$A$44,0,VLOOKUP(I79,$F$6:$G$44,2)))</f>
        <v>#REF!</v>
      </c>
      <c r="K79" s="462" t="e">
        <f>IF(K62&lt;$A$6,0,IF(K62&gt;$A$44,0,VLOOKUP(L76,$A$6:$J$44,6)))</f>
        <v>#REF!</v>
      </c>
      <c r="L79" s="462" t="e">
        <f>IF(K62&lt;$A$6,0,IF(K62&gt;$A$44,0,VLOOKUP(K79,$F$6:$G$44,2)))</f>
        <v>#REF!</v>
      </c>
      <c r="M79" s="460"/>
      <c r="N79" s="444"/>
      <c r="O79" s="444"/>
      <c r="P79" s="444"/>
      <c r="Q79" s="444"/>
    </row>
    <row r="80" spans="1:17" x14ac:dyDescent="0.3">
      <c r="A80" s="446"/>
      <c r="B80" s="449"/>
      <c r="C80" s="449"/>
      <c r="D80" s="1224"/>
      <c r="E80" s="387">
        <v>3</v>
      </c>
      <c r="F80" s="74"/>
      <c r="G80" s="462" t="e">
        <f>IF(G62&lt;$A$6,0,IF(G62&gt;$A$44,0,VLOOKUP(H76,$A$6:$J$44,9)))</f>
        <v>#REF!</v>
      </c>
      <c r="H80" s="462" t="e">
        <f>IF(G62&lt;$A$6,0,IF(G62&gt;$A$44,0,VLOOKUP(G80,$I$6:$J$44,2)))</f>
        <v>#REF!</v>
      </c>
      <c r="I80" s="462" t="e">
        <f>IF(I62&lt;$A$6,0,IF(I62&gt;$A$44,0,VLOOKUP(J76,$A$6:$J$44,9)))</f>
        <v>#REF!</v>
      </c>
      <c r="J80" s="462" t="e">
        <f>IF(I62&lt;$A$6,0,IF(I62&gt;$A$44,0,VLOOKUP(I80,$I$6:$J$44,2)))</f>
        <v>#REF!</v>
      </c>
      <c r="K80" s="462" t="e">
        <f>IF(K62&lt;$A$6,0,IF(K62&gt;$A$44,0,VLOOKUP(L76,$A$6:$J$44,9)))</f>
        <v>#REF!</v>
      </c>
      <c r="L80" s="462" t="e">
        <f>IF(K62&lt;$A$6,0,IF(K62&gt;$A$44,0,VLOOKUP(K80,$I$6:$J$44,2)))</f>
        <v>#REF!</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t="e">
        <f>VLOOKUP(G64,E72:H74,3)</f>
        <v>#REF!</v>
      </c>
      <c r="H85" s="468" t="e">
        <f>VLOOKUP(G64,E72:H74,4)</f>
        <v>#REF!</v>
      </c>
      <c r="I85" s="468" t="e">
        <f>VLOOKUP(G64,E72:J74,5)</f>
        <v>#REF!</v>
      </c>
      <c r="J85" s="468" t="e">
        <f>VLOOKUP(G64,E72:J74,6)</f>
        <v>#REF!</v>
      </c>
      <c r="K85" s="468" t="e">
        <f>VLOOKUP(G64,E72:K74,7)</f>
        <v>#REF!</v>
      </c>
      <c r="L85" s="468" t="e">
        <f>VLOOKUP(G64,E72:L74,8)</f>
        <v>#REF!</v>
      </c>
      <c r="M85" s="469"/>
      <c r="N85" s="444"/>
      <c r="O85" s="444"/>
      <c r="P85" s="444"/>
      <c r="Q85" s="444"/>
    </row>
    <row r="86" spans="1:17" x14ac:dyDescent="0.3">
      <c r="A86" s="446"/>
      <c r="B86" s="1238" t="s">
        <v>350</v>
      </c>
      <c r="C86" s="1238"/>
      <c r="D86" s="1238"/>
      <c r="E86" s="1238"/>
      <c r="F86" s="74"/>
      <c r="G86" s="468" t="e">
        <f>VLOOKUP(G64,E78:H80,3)</f>
        <v>#REF!</v>
      </c>
      <c r="H86" s="468" t="e">
        <f>VLOOKUP(G64,E78:H80,4)</f>
        <v>#REF!</v>
      </c>
      <c r="I86" s="468" t="e">
        <f>VLOOKUP(G64,E78:J80,5)</f>
        <v>#REF!</v>
      </c>
      <c r="J86" s="468" t="e">
        <f>VLOOKUP(G64,E78:J80,6)</f>
        <v>#REF!</v>
      </c>
      <c r="K86" s="468" t="e">
        <f>VLOOKUP(G64,E78:K80,7)</f>
        <v>#REF!</v>
      </c>
      <c r="L86" s="468" t="e">
        <f>VLOOKUP(G64,E78:L80,8)</f>
        <v>#REF!</v>
      </c>
      <c r="M86" s="469"/>
      <c r="N86" s="444"/>
      <c r="O86" s="444"/>
      <c r="P86" s="444"/>
      <c r="Q86" s="444"/>
    </row>
    <row r="87" spans="1:17" x14ac:dyDescent="0.3">
      <c r="A87" s="446"/>
      <c r="B87" s="1245" t="s">
        <v>352</v>
      </c>
      <c r="C87" s="1246"/>
      <c r="D87" s="1246"/>
      <c r="E87" s="1247"/>
      <c r="F87" s="74"/>
      <c r="G87" s="470" t="e">
        <f t="shared" ref="G87:L87" si="2">G86-G85</f>
        <v>#REF!</v>
      </c>
      <c r="H87" s="470" t="e">
        <f t="shared" si="2"/>
        <v>#REF!</v>
      </c>
      <c r="I87" s="470" t="e">
        <f t="shared" si="2"/>
        <v>#REF!</v>
      </c>
      <c r="J87" s="470" t="e">
        <f t="shared" si="2"/>
        <v>#REF!</v>
      </c>
      <c r="K87" s="470" t="e">
        <f t="shared" si="2"/>
        <v>#REF!</v>
      </c>
      <c r="L87" s="470" t="e">
        <f t="shared" si="2"/>
        <v>#REF!</v>
      </c>
      <c r="M87" s="471"/>
      <c r="N87" s="444"/>
      <c r="O87" s="444"/>
      <c r="P87" s="444"/>
      <c r="Q87" s="444"/>
    </row>
    <row r="88" spans="1:17" x14ac:dyDescent="0.3">
      <c r="A88" s="446"/>
      <c r="B88" s="1238" t="s">
        <v>353</v>
      </c>
      <c r="C88" s="1238"/>
      <c r="D88" s="1238"/>
      <c r="E88" s="1238"/>
      <c r="F88" s="74"/>
      <c r="G88" s="470" t="e">
        <f>G62-H70</f>
        <v>#REF!</v>
      </c>
      <c r="H88" s="472" t="e">
        <f>G64</f>
        <v>#REF!</v>
      </c>
      <c r="I88" s="470" t="e">
        <f>I62-J70</f>
        <v>#REF!</v>
      </c>
      <c r="J88" s="472" t="e">
        <f>G64</f>
        <v>#REF!</v>
      </c>
      <c r="K88" s="470" t="e">
        <f>K62-L70</f>
        <v>#REF!</v>
      </c>
      <c r="L88" s="472" t="e">
        <f>G64</f>
        <v>#REF!</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t="e">
        <f t="shared" ref="G93:L93" si="3">G85</f>
        <v>#REF!</v>
      </c>
      <c r="H93" s="468" t="e">
        <f t="shared" si="3"/>
        <v>#REF!</v>
      </c>
      <c r="I93" s="468" t="e">
        <f t="shared" si="3"/>
        <v>#REF!</v>
      </c>
      <c r="J93" s="468" t="e">
        <f t="shared" si="3"/>
        <v>#REF!</v>
      </c>
      <c r="K93" s="468" t="e">
        <f t="shared" si="3"/>
        <v>#REF!</v>
      </c>
      <c r="L93" s="468" t="e">
        <f t="shared" si="3"/>
        <v>#REF!</v>
      </c>
      <c r="M93" s="469"/>
    </row>
    <row r="94" spans="1:17" x14ac:dyDescent="0.3">
      <c r="A94" s="446"/>
      <c r="B94" s="1238" t="s">
        <v>356</v>
      </c>
      <c r="C94" s="1238"/>
      <c r="D94" s="1238"/>
      <c r="E94" s="1238"/>
      <c r="F94" s="473"/>
      <c r="G94" s="468" t="e">
        <f>G88</f>
        <v>#REF!</v>
      </c>
      <c r="H94" s="468" t="e">
        <f>G88</f>
        <v>#REF!</v>
      </c>
      <c r="I94" s="468" t="e">
        <f>I88</f>
        <v>#REF!</v>
      </c>
      <c r="J94" s="468" t="e">
        <f>I88</f>
        <v>#REF!</v>
      </c>
      <c r="K94" s="468" t="e">
        <f>K88</f>
        <v>#REF!</v>
      </c>
      <c r="L94" s="468" t="e">
        <f>K88</f>
        <v>#REF!</v>
      </c>
      <c r="M94" s="469"/>
    </row>
    <row r="95" spans="1:17" x14ac:dyDescent="0.3">
      <c r="A95" s="446"/>
      <c r="B95" s="1238" t="s">
        <v>357</v>
      </c>
      <c r="C95" s="1238"/>
      <c r="D95" s="1238"/>
      <c r="E95" s="1238"/>
      <c r="F95" s="473"/>
      <c r="G95" s="468" t="e">
        <f t="shared" ref="G95:L95" si="4">G87</f>
        <v>#REF!</v>
      </c>
      <c r="H95" s="468" t="e">
        <f t="shared" si="4"/>
        <v>#REF!</v>
      </c>
      <c r="I95" s="468" t="e">
        <f t="shared" si="4"/>
        <v>#REF!</v>
      </c>
      <c r="J95" s="468" t="e">
        <f t="shared" si="4"/>
        <v>#REF!</v>
      </c>
      <c r="K95" s="468" t="e">
        <f t="shared" si="4"/>
        <v>#REF!</v>
      </c>
      <c r="L95" s="468" t="e">
        <f t="shared" si="4"/>
        <v>#REF!</v>
      </c>
      <c r="M95" s="469"/>
    </row>
    <row r="96" spans="1:17" x14ac:dyDescent="0.3">
      <c r="A96" s="446"/>
      <c r="B96" s="1238" t="s">
        <v>358</v>
      </c>
      <c r="C96" s="1238"/>
      <c r="D96" s="1238"/>
      <c r="E96" s="1238"/>
      <c r="F96" s="473"/>
      <c r="G96" s="468" t="e">
        <f>H76-H70</f>
        <v>#REF!</v>
      </c>
      <c r="H96" s="468" t="e">
        <f>H76-H70</f>
        <v>#REF!</v>
      </c>
      <c r="I96" s="468" t="e">
        <f>J76-J70</f>
        <v>#REF!</v>
      </c>
      <c r="J96" s="468" t="e">
        <f>J76-J70</f>
        <v>#REF!</v>
      </c>
      <c r="K96" s="468" t="e">
        <f>L76-L70</f>
        <v>#REF!</v>
      </c>
      <c r="L96" s="468" t="e">
        <f>L76-L70</f>
        <v>#REF!</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t="e">
        <f>IF(G96=0,0,G93+((G94*G95)/G96))</f>
        <v>#REF!</v>
      </c>
      <c r="I98" s="74"/>
      <c r="J98" s="476" t="e">
        <f>IF(I96=0,0,I93+((I94*I95)/I96))</f>
        <v>#REF!</v>
      </c>
      <c r="K98" s="74"/>
      <c r="L98" s="476" t="e">
        <f>IF(K96=0,0,K93+((K94*K95)/K96))</f>
        <v>#REF!</v>
      </c>
      <c r="M98" s="73"/>
    </row>
    <row r="99" spans="1:13" x14ac:dyDescent="0.3">
      <c r="A99" s="446"/>
      <c r="B99" s="394" t="s">
        <v>359</v>
      </c>
      <c r="C99" s="461"/>
      <c r="D99" s="475" t="s">
        <v>339</v>
      </c>
      <c r="E99" s="393"/>
      <c r="F99" s="469"/>
      <c r="G99" s="74"/>
      <c r="H99" s="477" t="e">
        <f>((H102-H98)*0.25)+H98</f>
        <v>#REF!</v>
      </c>
      <c r="I99" s="74"/>
      <c r="J99" s="477" t="e">
        <f>((J102-J98)*0.25)+J98</f>
        <v>#REF!</v>
      </c>
      <c r="K99" s="74"/>
      <c r="L99" s="477" t="e">
        <f>((L102-L98)*0.25)+L98</f>
        <v>#REF!</v>
      </c>
      <c r="M99" s="73"/>
    </row>
    <row r="100" spans="1:13" x14ac:dyDescent="0.3">
      <c r="A100" s="446"/>
      <c r="B100" s="394"/>
      <c r="C100" s="461"/>
      <c r="D100" s="475" t="s">
        <v>340</v>
      </c>
      <c r="E100" s="393"/>
      <c r="F100" s="469"/>
      <c r="G100" s="74"/>
      <c r="H100" s="477" t="e">
        <f>(H102+H98)/2</f>
        <v>#REF!</v>
      </c>
      <c r="I100" s="74"/>
      <c r="J100" s="477" t="e">
        <f>(J102+J98)/2</f>
        <v>#REF!</v>
      </c>
      <c r="K100" s="74"/>
      <c r="L100" s="477" t="e">
        <f>(L102+L98)/2</f>
        <v>#REF!</v>
      </c>
      <c r="M100" s="73"/>
    </row>
    <row r="101" spans="1:13" x14ac:dyDescent="0.3">
      <c r="A101" s="446"/>
      <c r="B101" s="394" t="s">
        <v>360</v>
      </c>
      <c r="C101" s="461"/>
      <c r="D101" s="475" t="s">
        <v>341</v>
      </c>
      <c r="E101" s="393"/>
      <c r="F101" s="469"/>
      <c r="G101" s="74"/>
      <c r="H101" s="477" t="e">
        <f>((H102-H98)*0.75)+H98</f>
        <v>#REF!</v>
      </c>
      <c r="I101" s="74"/>
      <c r="J101" s="477" t="e">
        <f>((J102-J98)*0.75)+J98</f>
        <v>#REF!</v>
      </c>
      <c r="K101" s="74"/>
      <c r="L101" s="477" t="e">
        <f>((L102-L98)*0.75)+L98</f>
        <v>#REF!</v>
      </c>
      <c r="M101" s="73"/>
    </row>
    <row r="102" spans="1:13" ht="15.2" thickBot="1" x14ac:dyDescent="0.35">
      <c r="A102" s="446"/>
      <c r="B102" s="395"/>
      <c r="C102" s="461"/>
      <c r="D102" s="475" t="s">
        <v>342</v>
      </c>
      <c r="E102" s="393"/>
      <c r="F102" s="469"/>
      <c r="G102" s="74"/>
      <c r="H102" s="478" t="e">
        <f>IF(H96=0,0,H93+((H94*H95)/H96))</f>
        <v>#REF!</v>
      </c>
      <c r="I102" s="74"/>
      <c r="J102" s="478" t="e">
        <f>IF(J96=0,0,J93+((J94*J95)/J96))</f>
        <v>#REF!</v>
      </c>
      <c r="K102" s="74"/>
      <c r="L102" s="478" t="e">
        <f>IF(L96=0,0,L93+((L94*L95)/L96))</f>
        <v>#REF!</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t="e">
        <f>G64</f>
        <v>#REF!</v>
      </c>
      <c r="H105" s="480" t="e">
        <f>IF(G65="Basishonorarsatz",H98,IF(G65="Viertelsatz",H99,IF(G65="Mittelsatz",H100,IF(G65="Dreiviertelsatz",H101,H102))))</f>
        <v>#REF!</v>
      </c>
      <c r="I105" s="481" t="e">
        <f>G64</f>
        <v>#REF!</v>
      </c>
      <c r="J105" s="480" t="e">
        <f>IF(G65="Basishonorarsatz",J98,IF(G65="Viertelsatz",J99,IF(G65="Mittelsatz",J100,IF(G65="Dreiviertelsatz",J101,J102))))</f>
        <v>#REF!</v>
      </c>
      <c r="K105" s="481" t="e">
        <f>G64</f>
        <v>#REF!</v>
      </c>
      <c r="L105" s="480" t="e">
        <f>IF(G65="Basishonorarsatz",L98,IF(G65="Viertelsatz",L99,IF(G65="Mittelsatz",L100,IF(G65="Dreiviertelsatz",L101,L102))))</f>
        <v>#REF!</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t="e">
        <f>IF(#REF!="ja",#REF!,0)</f>
        <v>#REF!</v>
      </c>
      <c r="D109" s="1273"/>
      <c r="E109" s="1282" t="e">
        <f>IF(#REF!="ja",#REF!,0)</f>
        <v>#REF!</v>
      </c>
      <c r="F109" s="1273"/>
      <c r="G109" s="490" t="e">
        <f>C109*1.1+E109</f>
        <v>#REF!</v>
      </c>
    </row>
    <row r="110" spans="1:13" x14ac:dyDescent="0.3">
      <c r="B110" s="491">
        <v>2</v>
      </c>
      <c r="C110" s="1158" t="e">
        <f>IF(#REF!="ja",#REF!,0)</f>
        <v>#REF!</v>
      </c>
      <c r="D110" s="1159"/>
      <c r="E110" s="1275" t="e">
        <f>IF(#REF!="ja",#REF!,0)</f>
        <v>#REF!</v>
      </c>
      <c r="F110" s="1159"/>
      <c r="G110" s="490" t="e">
        <f t="shared" ref="G110:G122" si="5">C110*1.1+E110</f>
        <v>#REF!</v>
      </c>
    </row>
    <row r="111" spans="1:13" x14ac:dyDescent="0.3">
      <c r="B111" s="491">
        <v>3</v>
      </c>
      <c r="C111" s="1158" t="e">
        <f>IF(#REF!="ja",#REF!,0)</f>
        <v>#REF!</v>
      </c>
      <c r="D111" s="1159"/>
      <c r="E111" s="1275" t="e">
        <f>IF(#REF!="ja",#REF!,0)</f>
        <v>#REF!</v>
      </c>
      <c r="F111" s="1159"/>
      <c r="G111" s="490" t="e">
        <f t="shared" si="5"/>
        <v>#REF!</v>
      </c>
    </row>
    <row r="112" spans="1:13" x14ac:dyDescent="0.3">
      <c r="B112" s="491">
        <v>4</v>
      </c>
      <c r="C112" s="1158" t="e">
        <f>IF(#REF!="ja",#REF!,0)</f>
        <v>#REF!</v>
      </c>
      <c r="D112" s="1159"/>
      <c r="E112" s="1275" t="e">
        <f>IF(#REF!="ja",#REF!,0)</f>
        <v>#REF!</v>
      </c>
      <c r="F112" s="1159"/>
      <c r="G112" s="490" t="e">
        <f t="shared" si="5"/>
        <v>#REF!</v>
      </c>
    </row>
    <row r="113" spans="2:7" x14ac:dyDescent="0.3">
      <c r="B113" s="491" t="s">
        <v>371</v>
      </c>
      <c r="C113" s="1158" t="e">
        <f>IF(#REF!="ja",#REF!,0)</f>
        <v>#REF!</v>
      </c>
      <c r="D113" s="1159"/>
      <c r="E113" s="1275" t="e">
        <f>IF(#REF!="ja",#REF!+#REF!,0)</f>
        <v>#REF!</v>
      </c>
      <c r="F113" s="1159"/>
      <c r="G113" s="490" t="e">
        <f t="shared" si="5"/>
        <v>#REF!</v>
      </c>
    </row>
    <row r="114" spans="2:7" x14ac:dyDescent="0.3">
      <c r="B114" s="491" t="s">
        <v>372</v>
      </c>
      <c r="C114" s="1158" t="e">
        <f>IF(#REF!="ja",#REF!,0)</f>
        <v>#REF!</v>
      </c>
      <c r="D114" s="1159"/>
      <c r="E114" s="1275" t="e">
        <f>IF(#REF!="ja",#REF!+#REF!+#REF!+#REF!,0)</f>
        <v>#REF!</v>
      </c>
      <c r="F114" s="1159"/>
      <c r="G114" s="490" t="e">
        <f t="shared" si="5"/>
        <v>#REF!</v>
      </c>
    </row>
    <row r="115" spans="2:7" x14ac:dyDescent="0.3">
      <c r="B115" s="491" t="s">
        <v>373</v>
      </c>
      <c r="C115" s="1158" t="e">
        <f>IF(#REF!="ja",#REF!,0)</f>
        <v>#REF!</v>
      </c>
      <c r="D115" s="1159"/>
      <c r="E115" s="1275" t="e">
        <f>IF(#REF!="ja",#REF!,0)</f>
        <v>#REF!</v>
      </c>
      <c r="F115" s="1159"/>
      <c r="G115" s="490" t="e">
        <f t="shared" si="5"/>
        <v>#REF!</v>
      </c>
    </row>
    <row r="116" spans="2:7" x14ac:dyDescent="0.3">
      <c r="B116" s="491" t="s">
        <v>374</v>
      </c>
      <c r="C116" s="1158" t="e">
        <f>IF(#REF!="ja",#REF!,0)</f>
        <v>#REF!</v>
      </c>
      <c r="D116" s="1159"/>
      <c r="E116" s="1275" t="e">
        <f>IF(#REF!="ja",#REF!,0)</f>
        <v>#REF!</v>
      </c>
      <c r="F116" s="1159"/>
      <c r="G116" s="490" t="e">
        <f t="shared" si="5"/>
        <v>#REF!</v>
      </c>
    </row>
    <row r="117" spans="2:7" x14ac:dyDescent="0.3">
      <c r="B117" s="491" t="s">
        <v>375</v>
      </c>
      <c r="C117" s="1158" t="e">
        <f>IF(#REF!="ja",#REF!,0)</f>
        <v>#REF!</v>
      </c>
      <c r="D117" s="1159"/>
      <c r="E117" s="1275" t="e">
        <f>IF(#REF!="ja",#REF!+#REF!,0)</f>
        <v>#REF!</v>
      </c>
      <c r="F117" s="1159"/>
      <c r="G117" s="490" t="e">
        <f t="shared" si="5"/>
        <v>#REF!</v>
      </c>
    </row>
    <row r="118" spans="2:7" x14ac:dyDescent="0.3">
      <c r="B118" s="491" t="s">
        <v>376</v>
      </c>
      <c r="C118" s="1158" t="e">
        <f>IF(#REF!="ja",#REF!,0)</f>
        <v>#REF!</v>
      </c>
      <c r="D118" s="1159"/>
      <c r="E118" s="1275" t="e">
        <f>IF(#REF!="ja",#REF!,0)</f>
        <v>#REF!</v>
      </c>
      <c r="F118" s="1159"/>
      <c r="G118" s="490" t="e">
        <f t="shared" si="5"/>
        <v>#REF!</v>
      </c>
    </row>
    <row r="119" spans="2:7" x14ac:dyDescent="0.3">
      <c r="B119" s="492">
        <v>6</v>
      </c>
      <c r="C119" s="1158" t="e">
        <f>IF(#REF!="ja",#REF!,0)</f>
        <v>#REF!</v>
      </c>
      <c r="D119" s="1159"/>
      <c r="E119" s="1275" t="e">
        <f>IF(#REF!="ja",#REF!,0)</f>
        <v>#REF!</v>
      </c>
      <c r="F119" s="1159"/>
      <c r="G119" s="490" t="e">
        <f t="shared" si="5"/>
        <v>#REF!</v>
      </c>
    </row>
    <row r="120" spans="2:7" x14ac:dyDescent="0.3">
      <c r="B120" s="492">
        <v>7</v>
      </c>
      <c r="C120" s="1158" t="e">
        <f>IF(#REF!="ja",#REF!,0)</f>
        <v>#REF!</v>
      </c>
      <c r="D120" s="1159"/>
      <c r="E120" s="1275" t="e">
        <f>IF(#REF!="ja",#REF!,0)</f>
        <v>#REF!</v>
      </c>
      <c r="F120" s="1159"/>
      <c r="G120" s="490" t="e">
        <f t="shared" si="5"/>
        <v>#REF!</v>
      </c>
    </row>
    <row r="121" spans="2:7" x14ac:dyDescent="0.3">
      <c r="B121" s="492">
        <v>8</v>
      </c>
      <c r="C121" s="1158" t="e">
        <f>IF(#REF!="ja",#REF!,0)</f>
        <v>#REF!</v>
      </c>
      <c r="D121" s="1159"/>
      <c r="E121" s="1275" t="e">
        <f>IF(#REF!="ja",#REF!,0)</f>
        <v>#REF!</v>
      </c>
      <c r="F121" s="1159"/>
      <c r="G121" s="490" t="e">
        <f t="shared" si="5"/>
        <v>#REF!</v>
      </c>
    </row>
    <row r="122" spans="2:7" ht="15.2" thickBot="1" x14ac:dyDescent="0.35">
      <c r="B122" s="493">
        <v>9</v>
      </c>
      <c r="C122" s="1278" t="e">
        <f>IF(#REF!="ja",#REF!,0)</f>
        <v>#REF!</v>
      </c>
      <c r="D122" s="1279"/>
      <c r="E122" s="1280" t="e">
        <f>IF(#REF!="ja",#REF!,0)</f>
        <v>#REF!</v>
      </c>
      <c r="F122" s="1279"/>
      <c r="G122" s="490" t="e">
        <f t="shared" si="5"/>
        <v>#REF!</v>
      </c>
    </row>
    <row r="123" spans="2:7" ht="15.2" thickBot="1" x14ac:dyDescent="0.35">
      <c r="B123" s="494" t="s">
        <v>476</v>
      </c>
      <c r="C123" s="1216" t="e">
        <f>SUM(C109:D122)</f>
        <v>#REF!</v>
      </c>
      <c r="D123" s="1217"/>
      <c r="E123" s="1220" t="e">
        <f>SUM(E109:F122)</f>
        <v>#REF!</v>
      </c>
      <c r="F123" s="1221"/>
    </row>
    <row r="124" spans="2:7" ht="15.2" thickBot="1" x14ac:dyDescent="0.35"/>
    <row r="125" spans="2:7" ht="15.2" thickBot="1" x14ac:dyDescent="0.35">
      <c r="B125" s="495" t="s">
        <v>380</v>
      </c>
      <c r="C125" s="1250" t="e">
        <f>C123*#REF!+C123</f>
        <v>#REF!</v>
      </c>
      <c r="D125" s="1251"/>
      <c r="E125" s="1250"/>
      <c r="F125" s="1251"/>
    </row>
    <row r="128" spans="2:7" x14ac:dyDescent="0.3">
      <c r="B128" s="384" t="s">
        <v>479</v>
      </c>
      <c r="D128" s="496">
        <v>0.19</v>
      </c>
    </row>
    <row r="130" spans="2:17" ht="15.2" thickBot="1" x14ac:dyDescent="0.35">
      <c r="B130" s="495" t="s">
        <v>478</v>
      </c>
      <c r="C130" s="1250" t="e">
        <f>C125*D128+C125</f>
        <v>#REF!</v>
      </c>
      <c r="D130" s="1251"/>
      <c r="E130" s="1250">
        <f>E125*D128+E125</f>
        <v>0</v>
      </c>
      <c r="F130" s="1251"/>
    </row>
    <row r="132" spans="2:17" x14ac:dyDescent="0.3">
      <c r="B132" s="384" t="s">
        <v>480</v>
      </c>
      <c r="E132" s="1248" t="e">
        <f>C130+E130</f>
        <v>#REF!</v>
      </c>
      <c r="F132" s="1249"/>
    </row>
    <row r="133" spans="2:17" ht="15.2" thickBot="1" x14ac:dyDescent="0.35"/>
    <row r="134" spans="2:17" ht="15.2" thickBot="1" x14ac:dyDescent="0.35">
      <c r="B134" s="497" t="s">
        <v>115</v>
      </c>
      <c r="C134" s="498" t="s">
        <v>306</v>
      </c>
      <c r="D134" s="499" t="s">
        <v>307</v>
      </c>
      <c r="E134" s="499" t="s">
        <v>308</v>
      </c>
      <c r="F134" s="499" t="s">
        <v>309</v>
      </c>
      <c r="G134" s="499" t="s">
        <v>310</v>
      </c>
      <c r="H134" s="499" t="s">
        <v>311</v>
      </c>
      <c r="I134" s="499" t="s">
        <v>312</v>
      </c>
      <c r="J134" s="499" t="s">
        <v>313</v>
      </c>
      <c r="K134" s="499" t="s">
        <v>314</v>
      </c>
      <c r="L134" s="499" t="s">
        <v>315</v>
      </c>
      <c r="M134" s="499" t="s">
        <v>316</v>
      </c>
      <c r="N134" s="499" t="s">
        <v>317</v>
      </c>
      <c r="O134" s="499" t="s">
        <v>318</v>
      </c>
      <c r="P134" s="499" t="s">
        <v>379</v>
      </c>
      <c r="Q134" s="500" t="s">
        <v>380</v>
      </c>
    </row>
    <row r="135" spans="2:17" x14ac:dyDescent="0.3">
      <c r="B135" s="501">
        <f>IF(Überblick!$H$53&gt;=1,1,"")</f>
        <v>1</v>
      </c>
      <c r="C135" s="502" t="e">
        <f>IF($B135=#REF!,#REF!*#REF!+#REF!+#REF!,0)</f>
        <v>#REF!</v>
      </c>
      <c r="D135" s="503" t="e">
        <f>IF($B135=#REF!,#REF!*#REF!+#REF!+#REF!,0)</f>
        <v>#REF!</v>
      </c>
      <c r="E135" s="503" t="e">
        <f>IF($B135=#REF!,#REF!*#REF!+#REF!+#REF!,0)</f>
        <v>#REF!</v>
      </c>
      <c r="F135" s="503" t="e">
        <f>IF($B135=#REF!,#REF!*#REF!+#REF!+#REF!,0)</f>
        <v>#REF!</v>
      </c>
      <c r="G135" s="503" t="e">
        <f>IF($B135=#REF!,#REF!*#REF!+#REF!+#REF!+#REF!,0)</f>
        <v>#REF!</v>
      </c>
      <c r="H135" s="503" t="e">
        <f>IF($B135=#REF!,#REF!*#REF!+#REF!+#REF!+#REF!+#REF!+#REF!,0)</f>
        <v>#REF!</v>
      </c>
      <c r="I135" s="503" t="e">
        <f>IF($B135=#REF!,#REF!*#REF!+#REF!+#REF!,0)</f>
        <v>#REF!</v>
      </c>
      <c r="J135" s="503" t="e">
        <f>IF($B135=#REF!,#REF!*#REF!+#REF!+#REF!,0)</f>
        <v>#REF!</v>
      </c>
      <c r="K135" s="503" t="e">
        <f>IF($B135=#REF!,#REF!*#REF!+#REF!+#REF!+#REF!,0)</f>
        <v>#REF!</v>
      </c>
      <c r="L135" s="503" t="e">
        <f>IF($B135=#REF!,#REF!*#REF!+#REF!+#REF!,0)</f>
        <v>#REF!</v>
      </c>
      <c r="M135" s="503" t="e">
        <f>IF($B135=#REF!,#REF!*#REF!+#REF!+#REF!,0)</f>
        <v>#REF!</v>
      </c>
      <c r="N135" s="503" t="e">
        <f>IF($B135=#REF!,#REF!*#REF!+#REF!+#REF!,0)</f>
        <v>#REF!</v>
      </c>
      <c r="O135" s="503" t="e">
        <f>IF($B135=#REF!,#REF!*#REF!+#REF!+#REF!,0)</f>
        <v>#REF!</v>
      </c>
      <c r="P135" s="503" t="e">
        <f>IF($B135=#REF!,#REF!*#REF!+#REF!+#REF!,0)</f>
        <v>#REF!</v>
      </c>
      <c r="Q135" s="504" t="e">
        <f>SUM(C135:P135)</f>
        <v>#REF!</v>
      </c>
    </row>
    <row r="136" spans="2:17" x14ac:dyDescent="0.3">
      <c r="B136" s="505">
        <f>IF(Überblick!$H$53&gt;=2,2,"")</f>
        <v>2</v>
      </c>
      <c r="C136" s="506" t="e">
        <f>IF($B136=#REF!,#REF!*#REF!+#REF!+#REF!,0)</f>
        <v>#REF!</v>
      </c>
      <c r="D136" s="507" t="e">
        <f>IF($B136=#REF!,#REF!*#REF!+#REF!+#REF!,0)</f>
        <v>#REF!</v>
      </c>
      <c r="E136" s="507" t="e">
        <f>IF($B136=#REF!,#REF!*#REF!+#REF!+#REF!,0)</f>
        <v>#REF!</v>
      </c>
      <c r="F136" s="507" t="e">
        <f>IF($B136=#REF!,#REF!*#REF!+#REF!+#REF!,0)</f>
        <v>#REF!</v>
      </c>
      <c r="G136" s="507" t="e">
        <f>IF($B136=#REF!,#REF!*#REF!+#REF!+#REF!+#REF!,0)</f>
        <v>#REF!</v>
      </c>
      <c r="H136" s="507" t="e">
        <f>IF($B136=#REF!,#REF!*#REF!+#REF!+#REF!+#REF!+#REF!+#REF!,0)</f>
        <v>#REF!</v>
      </c>
      <c r="I136" s="507" t="e">
        <f>IF($B136=#REF!,#REF!*#REF!+#REF!+#REF!,0)</f>
        <v>#REF!</v>
      </c>
      <c r="J136" s="507" t="e">
        <f>IF($B136=#REF!,#REF!*#REF!+#REF!+#REF!,0)</f>
        <v>#REF!</v>
      </c>
      <c r="K136" s="507" t="e">
        <f>IF($B136=#REF!,#REF!*#REF!+#REF!+#REF!+#REF!,0)</f>
        <v>#REF!</v>
      </c>
      <c r="L136" s="507" t="e">
        <f>IF($B136=#REF!,#REF!*#REF!+#REF!+#REF!,0)</f>
        <v>#REF!</v>
      </c>
      <c r="M136" s="507" t="e">
        <f>IF($B136=#REF!,#REF!*#REF!+#REF!+#REF!,0)</f>
        <v>#REF!</v>
      </c>
      <c r="N136" s="507" t="e">
        <f>IF($B136=#REF!,#REF!*#REF!+#REF!+#REF!,0)</f>
        <v>#REF!</v>
      </c>
      <c r="O136" s="507" t="e">
        <f>IF($B136=#REF!,#REF!*#REF!+#REF!+#REF!,0)</f>
        <v>#REF!</v>
      </c>
      <c r="P136" s="507" t="e">
        <f>IF($B136=#REF!,#REF!*#REF!+#REF!+#REF!,0)</f>
        <v>#REF!</v>
      </c>
      <c r="Q136" s="508" t="e">
        <f t="shared" ref="Q136:Q142" si="6">SUM(C136:P136)</f>
        <v>#REF!</v>
      </c>
    </row>
    <row r="137" spans="2:17" x14ac:dyDescent="0.3">
      <c r="B137" s="505">
        <f>IF(Überblick!$H$53&gt;=3,3,"")</f>
        <v>3</v>
      </c>
      <c r="C137" s="506" t="e">
        <f>IF($B137=#REF!,#REF!*#REF!+#REF!+#REF!,0)</f>
        <v>#REF!</v>
      </c>
      <c r="D137" s="507" t="e">
        <f>IF($B137=#REF!,#REF!*#REF!+#REF!+#REF!,0)</f>
        <v>#REF!</v>
      </c>
      <c r="E137" s="507" t="e">
        <f>IF($B137=#REF!,#REF!*#REF!+#REF!+#REF!,0)</f>
        <v>#REF!</v>
      </c>
      <c r="F137" s="507" t="e">
        <f>IF($B137=#REF!,#REF!*#REF!+#REF!+#REF!,0)</f>
        <v>#REF!</v>
      </c>
      <c r="G137" s="507" t="e">
        <f>IF($B137=#REF!,#REF!*#REF!+#REF!+#REF!+#REF!,0)</f>
        <v>#REF!</v>
      </c>
      <c r="H137" s="507" t="e">
        <f>IF($B137=#REF!,#REF!*#REF!+#REF!+#REF!+#REF!+#REF!+#REF!,0)</f>
        <v>#REF!</v>
      </c>
      <c r="I137" s="507" t="e">
        <f>IF($B137=#REF!,#REF!*#REF!+#REF!+#REF!,0)</f>
        <v>#REF!</v>
      </c>
      <c r="J137" s="507" t="e">
        <f>IF($B137=#REF!,#REF!*#REF!+#REF!+#REF!,0)</f>
        <v>#REF!</v>
      </c>
      <c r="K137" s="507" t="e">
        <f>IF($B137=#REF!,#REF!*#REF!+#REF!+#REF!+#REF!,0)</f>
        <v>#REF!</v>
      </c>
      <c r="L137" s="507" t="e">
        <f>IF($B137=#REF!,#REF!*#REF!+#REF!+#REF!,0)</f>
        <v>#REF!</v>
      </c>
      <c r="M137" s="507" t="e">
        <f>IF($B137=#REF!,#REF!*#REF!+#REF!+#REF!,0)</f>
        <v>#REF!</v>
      </c>
      <c r="N137" s="507" t="e">
        <f>IF($B137=#REF!,#REF!*#REF!+#REF!+#REF!,0)</f>
        <v>#REF!</v>
      </c>
      <c r="O137" s="507" t="e">
        <f>IF($B137=#REF!,#REF!*#REF!+#REF!+#REF!,0)</f>
        <v>#REF!</v>
      </c>
      <c r="P137" s="507" t="e">
        <f>IF($B137=#REF!,#REF!*#REF!+#REF!+#REF!,0)</f>
        <v>#REF!</v>
      </c>
      <c r="Q137" s="508" t="e">
        <f t="shared" si="6"/>
        <v>#REF!</v>
      </c>
    </row>
    <row r="138" spans="2:17" x14ac:dyDescent="0.3">
      <c r="B138" s="505" t="str">
        <f>IF(Überblick!$H$53&gt;=4,4,"")</f>
        <v/>
      </c>
      <c r="C138" s="506" t="e">
        <f>IF($B138=#REF!,#REF!*#REF!+#REF!+#REF!,0)</f>
        <v>#REF!</v>
      </c>
      <c r="D138" s="507" t="e">
        <f>IF($B138=#REF!,#REF!*#REF!+#REF!+#REF!,0)</f>
        <v>#REF!</v>
      </c>
      <c r="E138" s="507" t="e">
        <f>IF($B138=#REF!,#REF!*#REF!+#REF!+#REF!,0)</f>
        <v>#REF!</v>
      </c>
      <c r="F138" s="507" t="e">
        <f>IF($B138=#REF!,#REF!*#REF!+#REF!+#REF!,0)</f>
        <v>#REF!</v>
      </c>
      <c r="G138" s="507" t="e">
        <f>IF($B138=#REF!,#REF!*#REF!+#REF!+#REF!+#REF!,0)</f>
        <v>#REF!</v>
      </c>
      <c r="H138" s="507" t="e">
        <f>IF($B138=#REF!,#REF!*#REF!+#REF!+#REF!+#REF!+#REF!+#REF!,0)</f>
        <v>#REF!</v>
      </c>
      <c r="I138" s="507" t="e">
        <f>IF($B138=#REF!,#REF!*#REF!+#REF!+#REF!,0)</f>
        <v>#REF!</v>
      </c>
      <c r="J138" s="507" t="e">
        <f>IF($B138=#REF!,#REF!*#REF!+#REF!+#REF!,0)</f>
        <v>#REF!</v>
      </c>
      <c r="K138" s="507" t="e">
        <f>IF($B138=#REF!,#REF!*#REF!+#REF!+#REF!+#REF!,0)</f>
        <v>#REF!</v>
      </c>
      <c r="L138" s="507" t="e">
        <f>IF($B138=#REF!,#REF!*#REF!+#REF!+#REF!,0)</f>
        <v>#REF!</v>
      </c>
      <c r="M138" s="507" t="e">
        <f>IF($B138=#REF!,#REF!*#REF!+#REF!+#REF!,0)</f>
        <v>#REF!</v>
      </c>
      <c r="N138" s="507" t="e">
        <f>IF($B138=#REF!,#REF!*#REF!+#REF!+#REF!,0)</f>
        <v>#REF!</v>
      </c>
      <c r="O138" s="507" t="e">
        <f>IF($B138=#REF!,#REF!*#REF!+#REF!+#REF!,0)</f>
        <v>#REF!</v>
      </c>
      <c r="P138" s="507" t="e">
        <f>IF($B138=#REF!,#REF!*#REF!+#REF!+#REF!,0)</f>
        <v>#REF!</v>
      </c>
      <c r="Q138" s="508" t="e">
        <f t="shared" si="6"/>
        <v>#REF!</v>
      </c>
    </row>
    <row r="139" spans="2:17" x14ac:dyDescent="0.3">
      <c r="B139" s="505" t="str">
        <f>IF(Überblick!$H$53&gt;=5,5,"")</f>
        <v/>
      </c>
      <c r="C139" s="506" t="e">
        <f>IF($B139=#REF!,#REF!*#REF!+#REF!+#REF!,0)</f>
        <v>#REF!</v>
      </c>
      <c r="D139" s="507" t="e">
        <f>IF($B139=#REF!,#REF!*#REF!+#REF!+#REF!,0)</f>
        <v>#REF!</v>
      </c>
      <c r="E139" s="507" t="e">
        <f>IF($B139=#REF!,#REF!*#REF!+#REF!+#REF!,0)</f>
        <v>#REF!</v>
      </c>
      <c r="F139" s="507" t="e">
        <f>IF($B139=#REF!,#REF!*#REF!+#REF!+#REF!,0)</f>
        <v>#REF!</v>
      </c>
      <c r="G139" s="507" t="e">
        <f>IF($B139=#REF!,#REF!*#REF!+#REF!+#REF!+#REF!,0)</f>
        <v>#REF!</v>
      </c>
      <c r="H139" s="507" t="e">
        <f>IF($B139=#REF!,#REF!*#REF!+#REF!+#REF!+#REF!+#REF!+#REF!,0)</f>
        <v>#REF!</v>
      </c>
      <c r="I139" s="507" t="e">
        <f>IF($B139=#REF!,#REF!*#REF!+#REF!+#REF!,0)</f>
        <v>#REF!</v>
      </c>
      <c r="J139" s="507" t="e">
        <f>IF($B139=#REF!,#REF!*#REF!+#REF!+#REF!,0)</f>
        <v>#REF!</v>
      </c>
      <c r="K139" s="507" t="e">
        <f>IF($B139=#REF!,#REF!*#REF!+#REF!+#REF!+#REF!,0)</f>
        <v>#REF!</v>
      </c>
      <c r="L139" s="507" t="e">
        <f>IF($B139=#REF!,#REF!*#REF!+#REF!+#REF!,0)</f>
        <v>#REF!</v>
      </c>
      <c r="M139" s="507" t="e">
        <f>IF($B139=#REF!,#REF!*#REF!+#REF!+#REF!,0)</f>
        <v>#REF!</v>
      </c>
      <c r="N139" s="507" t="e">
        <f>IF($B139=#REF!,#REF!*#REF!+#REF!+#REF!,0)</f>
        <v>#REF!</v>
      </c>
      <c r="O139" s="507" t="e">
        <f>IF($B139=#REF!,#REF!*#REF!+#REF!+#REF!,0)</f>
        <v>#REF!</v>
      </c>
      <c r="P139" s="507" t="e">
        <f>IF($B139=#REF!,#REF!*#REF!+#REF!+#REF!,0)</f>
        <v>#REF!</v>
      </c>
      <c r="Q139" s="508" t="e">
        <f t="shared" si="6"/>
        <v>#REF!</v>
      </c>
    </row>
    <row r="140" spans="2:17" x14ac:dyDescent="0.3">
      <c r="B140" s="505" t="str">
        <f>IF(Überblick!$H$53&gt;=6,6,"")</f>
        <v/>
      </c>
      <c r="C140" s="506" t="e">
        <f>IF($B140=#REF!,#REF!*#REF!+#REF!+#REF!,0)</f>
        <v>#REF!</v>
      </c>
      <c r="D140" s="507" t="e">
        <f>IF($B140=#REF!,#REF!*#REF!+#REF!+#REF!,0)</f>
        <v>#REF!</v>
      </c>
      <c r="E140" s="507" t="e">
        <f>IF($B140=#REF!,#REF!*#REF!+#REF!+#REF!,0)</f>
        <v>#REF!</v>
      </c>
      <c r="F140" s="507" t="e">
        <f>IF($B140=#REF!,#REF!*#REF!+#REF!+#REF!,0)</f>
        <v>#REF!</v>
      </c>
      <c r="G140" s="507" t="e">
        <f>IF($B140=#REF!,#REF!*#REF!+#REF!+#REF!+#REF!,0)</f>
        <v>#REF!</v>
      </c>
      <c r="H140" s="507" t="e">
        <f>IF($B140=#REF!,#REF!*#REF!+#REF!+#REF!+#REF!+#REF!+#REF!,0)</f>
        <v>#REF!</v>
      </c>
      <c r="I140" s="507" t="e">
        <f>IF($B140=#REF!,#REF!*#REF!+#REF!+#REF!,0)</f>
        <v>#REF!</v>
      </c>
      <c r="J140" s="507" t="e">
        <f>IF($B140=#REF!,#REF!*#REF!+#REF!+#REF!,0)</f>
        <v>#REF!</v>
      </c>
      <c r="K140" s="507" t="e">
        <f>IF($B140=#REF!,#REF!*#REF!+#REF!+#REF!+#REF!,0)</f>
        <v>#REF!</v>
      </c>
      <c r="L140" s="507" t="e">
        <f>IF($B140=#REF!,#REF!*#REF!+#REF!+#REF!,0)</f>
        <v>#REF!</v>
      </c>
      <c r="M140" s="507" t="e">
        <f>IF($B140=#REF!,#REF!*#REF!+#REF!+#REF!,0)</f>
        <v>#REF!</v>
      </c>
      <c r="N140" s="507" t="e">
        <f>IF($B140=#REF!,#REF!*#REF!+#REF!+#REF!,0)</f>
        <v>#REF!</v>
      </c>
      <c r="O140" s="507" t="e">
        <f>IF($B140=#REF!,#REF!*#REF!+#REF!+#REF!,0)</f>
        <v>#REF!</v>
      </c>
      <c r="P140" s="507" t="e">
        <f>IF($B140=#REF!,#REF!*#REF!+#REF!+#REF!,0)</f>
        <v>#REF!</v>
      </c>
      <c r="Q140" s="508" t="e">
        <f t="shared" si="6"/>
        <v>#REF!</v>
      </c>
    </row>
    <row r="141" spans="2:17" x14ac:dyDescent="0.3">
      <c r="B141" s="505" t="str">
        <f>IF(Überblick!$H$53&gt;=7,7,"")</f>
        <v/>
      </c>
      <c r="C141" s="506" t="e">
        <f>IF($B141=#REF!,#REF!*#REF!+#REF!+#REF!,0)</f>
        <v>#REF!</v>
      </c>
      <c r="D141" s="507" t="e">
        <f>IF($B141=#REF!,#REF!*#REF!+#REF!+#REF!,0)</f>
        <v>#REF!</v>
      </c>
      <c r="E141" s="507" t="e">
        <f>IF($B141=#REF!,#REF!*#REF!+#REF!+#REF!,0)</f>
        <v>#REF!</v>
      </c>
      <c r="F141" s="507" t="e">
        <f>IF($B141=#REF!,#REF!*#REF!+#REF!+#REF!,0)</f>
        <v>#REF!</v>
      </c>
      <c r="G141" s="507" t="e">
        <f>IF($B141=#REF!,#REF!*#REF!+#REF!+#REF!+#REF!,0)</f>
        <v>#REF!</v>
      </c>
      <c r="H141" s="507" t="e">
        <f>IF($B141=#REF!,#REF!*#REF!+#REF!+#REF!+#REF!+#REF!+#REF!,0)</f>
        <v>#REF!</v>
      </c>
      <c r="I141" s="507" t="e">
        <f>IF($B141=#REF!,#REF!*#REF!+#REF!+#REF!,0)</f>
        <v>#REF!</v>
      </c>
      <c r="J141" s="507" t="e">
        <f>IF($B141=#REF!,#REF!*#REF!+#REF!+#REF!,0)</f>
        <v>#REF!</v>
      </c>
      <c r="K141" s="507" t="e">
        <f>IF($B141=#REF!,#REF!*#REF!+#REF!+#REF!+#REF!,0)</f>
        <v>#REF!</v>
      </c>
      <c r="L141" s="507" t="e">
        <f>IF($B141=#REF!,#REF!*#REF!+#REF!+#REF!,0)</f>
        <v>#REF!</v>
      </c>
      <c r="M141" s="507" t="e">
        <f>IF($B141=#REF!,#REF!*#REF!+#REF!+#REF!,0)</f>
        <v>#REF!</v>
      </c>
      <c r="N141" s="507" t="e">
        <f>IF($B141=#REF!,#REF!*#REF!+#REF!+#REF!,0)</f>
        <v>#REF!</v>
      </c>
      <c r="O141" s="507" t="e">
        <f>IF($B141=#REF!,#REF!*#REF!+#REF!+#REF!,0)</f>
        <v>#REF!</v>
      </c>
      <c r="P141" s="507" t="e">
        <f>IF($B141=#REF!,#REF!*#REF!+#REF!+#REF!,0)</f>
        <v>#REF!</v>
      </c>
      <c r="Q141" s="508" t="e">
        <f t="shared" si="6"/>
        <v>#REF!</v>
      </c>
    </row>
    <row r="142" spans="2:17" x14ac:dyDescent="0.3">
      <c r="B142" s="505" t="str">
        <f>IF(Überblick!$H$53&gt;=8,8,"")</f>
        <v/>
      </c>
      <c r="C142" s="506" t="e">
        <f>IF($B142=#REF!,#REF!*#REF!+#REF!+#REF!,0)</f>
        <v>#REF!</v>
      </c>
      <c r="D142" s="507" t="e">
        <f>IF($B142=#REF!,#REF!*#REF!+#REF!+#REF!,0)</f>
        <v>#REF!</v>
      </c>
      <c r="E142" s="507" t="e">
        <f>IF($B142=#REF!,#REF!*#REF!+#REF!+#REF!,0)</f>
        <v>#REF!</v>
      </c>
      <c r="F142" s="507" t="e">
        <f>IF($B142=#REF!,#REF!*#REF!+#REF!+#REF!,0)</f>
        <v>#REF!</v>
      </c>
      <c r="G142" s="507" t="e">
        <f>IF($B142=#REF!,#REF!*#REF!+#REF!+#REF!+#REF!,0)</f>
        <v>#REF!</v>
      </c>
      <c r="H142" s="507" t="e">
        <f>IF($B142=#REF!,#REF!*#REF!+#REF!+#REF!+#REF!+#REF!+#REF!,0)</f>
        <v>#REF!</v>
      </c>
      <c r="I142" s="507" t="e">
        <f>IF($B142=#REF!,#REF!*#REF!+#REF!+#REF!,0)</f>
        <v>#REF!</v>
      </c>
      <c r="J142" s="507" t="e">
        <f>IF($B142=#REF!,#REF!*#REF!+#REF!+#REF!,0)</f>
        <v>#REF!</v>
      </c>
      <c r="K142" s="507" t="e">
        <f>IF($B142=#REF!,#REF!*#REF!+#REF!+#REF!+#REF!,0)</f>
        <v>#REF!</v>
      </c>
      <c r="L142" s="507" t="e">
        <f>IF($B142=#REF!,#REF!*#REF!+#REF!+#REF!,0)</f>
        <v>#REF!</v>
      </c>
      <c r="M142" s="507" t="e">
        <f>IF($B142=#REF!,#REF!*#REF!+#REF!+#REF!,0)</f>
        <v>#REF!</v>
      </c>
      <c r="N142" s="507" t="e">
        <f>IF($B142=#REF!,#REF!*#REF!+#REF!+#REF!,0)</f>
        <v>#REF!</v>
      </c>
      <c r="O142" s="507" t="e">
        <f>IF($B142=#REF!,#REF!*#REF!+#REF!+#REF!,0)</f>
        <v>#REF!</v>
      </c>
      <c r="P142" s="507" t="e">
        <f>IF($B142=#REF!,#REF!*#REF!+#REF!+#REF!,0)</f>
        <v>#REF!</v>
      </c>
      <c r="Q142" s="508" t="e">
        <f t="shared" si="6"/>
        <v>#REF!</v>
      </c>
    </row>
    <row r="143" spans="2:17" ht="15.2" thickBot="1" x14ac:dyDescent="0.35">
      <c r="B143" s="509" t="str">
        <f>IF(Überblick!$H$53&gt;=9,9,"")</f>
        <v/>
      </c>
      <c r="C143" s="510" t="e">
        <f>IF($B143=#REF!,#REF!*#REF!+#REF!+#REF!,0)</f>
        <v>#REF!</v>
      </c>
      <c r="D143" s="511" t="e">
        <f>IF($B143=#REF!,#REF!*#REF!+#REF!+#REF!,0)</f>
        <v>#REF!</v>
      </c>
      <c r="E143" s="511" t="e">
        <f>IF($B143=#REF!,#REF!*#REF!+#REF!+#REF!,0)</f>
        <v>#REF!</v>
      </c>
      <c r="F143" s="511" t="e">
        <f>IF($B143=#REF!,#REF!*#REF!+#REF!+#REF!,0)</f>
        <v>#REF!</v>
      </c>
      <c r="G143" s="511" t="e">
        <f>IF($B143=#REF!,#REF!*#REF!+#REF!+#REF!+#REF!,0)</f>
        <v>#REF!</v>
      </c>
      <c r="H143" s="511" t="e">
        <f>IF($B143=#REF!,#REF!*#REF!+#REF!+#REF!+#REF!+#REF!+#REF!,0)</f>
        <v>#REF!</v>
      </c>
      <c r="I143" s="511" t="e">
        <f>IF($B143=#REF!,#REF!*#REF!+#REF!+#REF!,0)</f>
        <v>#REF!</v>
      </c>
      <c r="J143" s="511" t="e">
        <f>IF($B143=#REF!,#REF!*#REF!+#REF!+#REF!,0)</f>
        <v>#REF!</v>
      </c>
      <c r="K143" s="511" t="e">
        <f>IF($B143=#REF!,#REF!*#REF!+#REF!+#REF!+#REF!,0)</f>
        <v>#REF!</v>
      </c>
      <c r="L143" s="511" t="e">
        <f>IF($B143=#REF!,#REF!*#REF!+#REF!+#REF!,0)</f>
        <v>#REF!</v>
      </c>
      <c r="M143" s="511" t="e">
        <f>IF($B143=#REF!,#REF!*#REF!+#REF!+#REF!,0)</f>
        <v>#REF!</v>
      </c>
      <c r="N143" s="511" t="e">
        <f>IF($B143=#REF!,#REF!*#REF!+#REF!+#REF!,0)</f>
        <v>#REF!</v>
      </c>
      <c r="O143" s="511" t="e">
        <f>IF($B143=#REF!,#REF!*#REF!+#REF!+#REF!,0)</f>
        <v>#REF!</v>
      </c>
      <c r="P143" s="511" t="e">
        <f>IF($B143=#REF!,#REF!*#REF!+#REF!+#REF!,0)</f>
        <v>#REF!</v>
      </c>
      <c r="Q143" s="512" t="e">
        <f t="shared" ref="Q143" si="7">SUM(C143:P143)</f>
        <v>#REF!</v>
      </c>
    </row>
    <row r="144" spans="2:17" x14ac:dyDescent="0.3">
      <c r="Q144" s="513" t="e">
        <f>SUM(Q135:Q143)</f>
        <v>#REF!</v>
      </c>
    </row>
    <row r="156" spans="2:4" x14ac:dyDescent="0.3">
      <c r="B156" s="514"/>
      <c r="C156" s="515"/>
      <c r="D156" s="516"/>
    </row>
  </sheetData>
  <mergeCells count="84">
    <mergeCell ref="A2:A5"/>
    <mergeCell ref="C2:D2"/>
    <mergeCell ref="F2:G2"/>
    <mergeCell ref="I2:J2"/>
    <mergeCell ref="C3:D3"/>
    <mergeCell ref="F3:G3"/>
    <mergeCell ref="I3:J3"/>
    <mergeCell ref="C5:D5"/>
    <mergeCell ref="F5:G5"/>
    <mergeCell ref="I5:J5"/>
    <mergeCell ref="G50:H50"/>
    <mergeCell ref="J50:K50"/>
    <mergeCell ref="G52:G54"/>
    <mergeCell ref="G56:G60"/>
    <mergeCell ref="B62:E62"/>
    <mergeCell ref="G62:H62"/>
    <mergeCell ref="I62:J62"/>
    <mergeCell ref="K62:L62"/>
    <mergeCell ref="E76:E77"/>
    <mergeCell ref="B64:E64"/>
    <mergeCell ref="G64:H64"/>
    <mergeCell ref="J64:K64"/>
    <mergeCell ref="B65:E65"/>
    <mergeCell ref="G65:H65"/>
    <mergeCell ref="J65:K65"/>
    <mergeCell ref="G69:H69"/>
    <mergeCell ref="I69:J69"/>
    <mergeCell ref="K69:L69"/>
    <mergeCell ref="E70:E71"/>
    <mergeCell ref="D76:D80"/>
    <mergeCell ref="D70:D74"/>
    <mergeCell ref="I104:J104"/>
    <mergeCell ref="K104:L104"/>
    <mergeCell ref="B105:E105"/>
    <mergeCell ref="B85:E85"/>
    <mergeCell ref="B86:E86"/>
    <mergeCell ref="B87:E87"/>
    <mergeCell ref="B88:E88"/>
    <mergeCell ref="B93:E93"/>
    <mergeCell ref="B94:E94"/>
    <mergeCell ref="C110:D110"/>
    <mergeCell ref="E110:F110"/>
    <mergeCell ref="B95:E95"/>
    <mergeCell ref="B96:E96"/>
    <mergeCell ref="G104:H104"/>
    <mergeCell ref="C107:F107"/>
    <mergeCell ref="C108:D108"/>
    <mergeCell ref="E108:F108"/>
    <mergeCell ref="C109:D109"/>
    <mergeCell ref="E109:F109"/>
    <mergeCell ref="C111:D111"/>
    <mergeCell ref="E111:F111"/>
    <mergeCell ref="C112:D112"/>
    <mergeCell ref="E112:F112"/>
    <mergeCell ref="C113:D113"/>
    <mergeCell ref="E113:F113"/>
    <mergeCell ref="C114:D114"/>
    <mergeCell ref="E114:F114"/>
    <mergeCell ref="C115:D115"/>
    <mergeCell ref="E115:F115"/>
    <mergeCell ref="C116:D116"/>
    <mergeCell ref="E116:F116"/>
    <mergeCell ref="C117:D117"/>
    <mergeCell ref="E117:F117"/>
    <mergeCell ref="C118:D118"/>
    <mergeCell ref="E118:F118"/>
    <mergeCell ref="C119:D119"/>
    <mergeCell ref="E119:F119"/>
    <mergeCell ref="B26:B44"/>
    <mergeCell ref="E26:E44"/>
    <mergeCell ref="H26:H44"/>
    <mergeCell ref="E132:F132"/>
    <mergeCell ref="C123:D123"/>
    <mergeCell ref="E123:F123"/>
    <mergeCell ref="C125:D125"/>
    <mergeCell ref="E125:F125"/>
    <mergeCell ref="C130:D130"/>
    <mergeCell ref="E130:F130"/>
    <mergeCell ref="C120:D120"/>
    <mergeCell ref="E120:F120"/>
    <mergeCell ref="C121:D121"/>
    <mergeCell ref="E121:F121"/>
    <mergeCell ref="C122:D122"/>
    <mergeCell ref="E122:F122"/>
  </mergeCells>
  <conditionalFormatting sqref="A6:A44">
    <cfRule type="colorScale" priority="7">
      <colorScale>
        <cfvo type="min"/>
        <cfvo type="percentile" val="50"/>
        <cfvo type="max"/>
        <color rgb="FF63BE7B"/>
        <color rgb="FFFFEB84"/>
        <color rgb="FFF8696B"/>
      </colorScale>
    </cfRule>
  </conditionalFormatting>
  <conditionalFormatting sqref="C6:C44">
    <cfRule type="colorScale" priority="6">
      <colorScale>
        <cfvo type="min"/>
        <cfvo type="percentile" val="50"/>
        <cfvo type="max"/>
        <color rgb="FF63BE7B"/>
        <color rgb="FFFFEB84"/>
        <color rgb="FFF8696B"/>
      </colorScale>
    </cfRule>
  </conditionalFormatting>
  <conditionalFormatting sqref="D6:D44">
    <cfRule type="colorScale" priority="5">
      <colorScale>
        <cfvo type="min"/>
        <cfvo type="percentile" val="50"/>
        <cfvo type="max"/>
        <color rgb="FF63BE7B"/>
        <color rgb="FFFFEB84"/>
        <color rgb="FFF8696B"/>
      </colorScale>
    </cfRule>
  </conditionalFormatting>
  <conditionalFormatting sqref="F6:F44">
    <cfRule type="colorScale" priority="4">
      <colorScale>
        <cfvo type="min"/>
        <cfvo type="percentile" val="50"/>
        <cfvo type="max"/>
        <color rgb="FF63BE7B"/>
        <color rgb="FFFFEB84"/>
        <color rgb="FFF8696B"/>
      </colorScale>
    </cfRule>
  </conditionalFormatting>
  <conditionalFormatting sqref="G6:G44">
    <cfRule type="colorScale" priority="3">
      <colorScale>
        <cfvo type="min"/>
        <cfvo type="percentile" val="50"/>
        <cfvo type="max"/>
        <color rgb="FF63BE7B"/>
        <color rgb="FFFFEB84"/>
        <color rgb="FFF8696B"/>
      </colorScale>
    </cfRule>
  </conditionalFormatting>
  <conditionalFormatting sqref="I6:I44">
    <cfRule type="colorScale" priority="2">
      <colorScale>
        <cfvo type="min"/>
        <cfvo type="percentile" val="50"/>
        <cfvo type="max"/>
        <color rgb="FF63BE7B"/>
        <color rgb="FFFFEB84"/>
        <color rgb="FFF8696B"/>
      </colorScale>
    </cfRule>
  </conditionalFormatting>
  <conditionalFormatting sqref="J6:J44">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1A79-72C6-4297-866B-6CFC4FD84B00}">
  <sheetPr>
    <tabColor rgb="FFFFC000"/>
  </sheetPr>
  <dimension ref="A2:V581"/>
  <sheetViews>
    <sheetView workbookViewId="0"/>
  </sheetViews>
  <sheetFormatPr baseColWidth="10" defaultColWidth="11.44140625" defaultRowHeight="13.9" x14ac:dyDescent="0.25"/>
  <cols>
    <col min="1" max="1" width="3.33203125" style="73" customWidth="1"/>
    <col min="2" max="2" width="30.44140625" style="73" customWidth="1"/>
    <col min="3" max="3" width="10.5546875" style="73" bestFit="1" customWidth="1"/>
    <col min="4" max="5" width="15.6640625" style="73" customWidth="1"/>
    <col min="6" max="6" width="10.5546875" style="73" bestFit="1" customWidth="1"/>
    <col min="7" max="7" width="17" style="73" customWidth="1"/>
    <col min="8" max="8" width="17.33203125" style="73" customWidth="1"/>
    <col min="9" max="9" width="11.44140625" style="73" customWidth="1"/>
    <col min="10" max="11" width="15.6640625" style="73" customWidth="1"/>
    <col min="12" max="12" width="10.5546875" style="73" bestFit="1" customWidth="1"/>
    <col min="13" max="14" width="15.6640625" style="73" customWidth="1"/>
    <col min="15" max="15" width="10.5546875" style="73" bestFit="1" customWidth="1"/>
    <col min="16" max="17" width="15.6640625" style="73" customWidth="1"/>
    <col min="18" max="19" width="11.44140625" style="73"/>
    <col min="20" max="20" width="49" style="73" bestFit="1" customWidth="1"/>
    <col min="21" max="21" width="27.44140625" style="73" bestFit="1" customWidth="1"/>
    <col min="22" max="22" width="98.88671875" style="73" customWidth="1"/>
    <col min="23" max="16384" width="11.44140625" style="73"/>
  </cols>
  <sheetData>
    <row r="2" spans="1:17" x14ac:dyDescent="0.25">
      <c r="B2" s="383" t="s">
        <v>485</v>
      </c>
    </row>
    <row r="3" spans="1:17" ht="14.55" thickBot="1" x14ac:dyDescent="0.3"/>
    <row r="4" spans="1:17" ht="14.55" x14ac:dyDescent="0.25">
      <c r="A4" s="465"/>
      <c r="B4" s="1195" t="s">
        <v>321</v>
      </c>
      <c r="C4" s="390"/>
      <c r="D4" s="1200" t="s">
        <v>322</v>
      </c>
      <c r="E4" s="1201"/>
      <c r="F4" s="390"/>
      <c r="G4" s="1200" t="s">
        <v>323</v>
      </c>
      <c r="H4" s="1201"/>
      <c r="I4" s="390"/>
      <c r="J4" s="1200" t="s">
        <v>324</v>
      </c>
      <c r="K4" s="1201"/>
      <c r="L4" s="390"/>
      <c r="M4" s="1200" t="s">
        <v>325</v>
      </c>
      <c r="N4" s="1201"/>
      <c r="O4" s="390"/>
      <c r="P4" s="1200" t="s">
        <v>326</v>
      </c>
      <c r="Q4" s="1201"/>
    </row>
    <row r="5" spans="1:17" ht="14.55" x14ac:dyDescent="0.25">
      <c r="A5" s="465"/>
      <c r="B5" s="1196"/>
      <c r="C5" s="390"/>
      <c r="D5" s="1202" t="s">
        <v>327</v>
      </c>
      <c r="E5" s="1203"/>
      <c r="F5" s="390"/>
      <c r="G5" s="1202" t="s">
        <v>328</v>
      </c>
      <c r="H5" s="1203"/>
      <c r="I5" s="390"/>
      <c r="J5" s="1202" t="s">
        <v>329</v>
      </c>
      <c r="K5" s="1203"/>
      <c r="L5" s="390"/>
      <c r="M5" s="1202" t="s">
        <v>330</v>
      </c>
      <c r="N5" s="1203"/>
      <c r="O5" s="390"/>
      <c r="P5" s="1202" t="s">
        <v>331</v>
      </c>
      <c r="Q5" s="1203"/>
    </row>
    <row r="6" spans="1:17" ht="14.55" x14ac:dyDescent="0.25">
      <c r="A6" s="465"/>
      <c r="B6" s="1196"/>
      <c r="C6" s="390"/>
      <c r="D6" s="388" t="s">
        <v>332</v>
      </c>
      <c r="E6" s="389" t="s">
        <v>333</v>
      </c>
      <c r="F6" s="390"/>
      <c r="G6" s="388" t="s">
        <v>332</v>
      </c>
      <c r="H6" s="389" t="s">
        <v>333</v>
      </c>
      <c r="I6" s="390"/>
      <c r="J6" s="388" t="s">
        <v>332</v>
      </c>
      <c r="K6" s="389" t="s">
        <v>333</v>
      </c>
      <c r="L6" s="390"/>
      <c r="M6" s="388" t="s">
        <v>332</v>
      </c>
      <c r="N6" s="389" t="s">
        <v>333</v>
      </c>
      <c r="O6" s="390"/>
      <c r="P6" s="388" t="s">
        <v>332</v>
      </c>
      <c r="Q6" s="389" t="s">
        <v>333</v>
      </c>
    </row>
    <row r="7" spans="1:17" ht="15.2" thickBot="1" x14ac:dyDescent="0.3">
      <c r="A7" s="465"/>
      <c r="B7" s="1197"/>
      <c r="C7" s="390"/>
      <c r="D7" s="1198" t="s">
        <v>3</v>
      </c>
      <c r="E7" s="1199"/>
      <c r="F7" s="390"/>
      <c r="G7" s="1198" t="s">
        <v>3</v>
      </c>
      <c r="H7" s="1199"/>
      <c r="I7" s="390"/>
      <c r="J7" s="1198" t="s">
        <v>3</v>
      </c>
      <c r="K7" s="1199"/>
      <c r="L7" s="390"/>
      <c r="M7" s="1198" t="s">
        <v>3</v>
      </c>
      <c r="N7" s="1199"/>
      <c r="O7" s="390"/>
      <c r="P7" s="1198" t="s">
        <v>3</v>
      </c>
      <c r="Q7" s="1199"/>
    </row>
    <row r="8" spans="1:17" ht="14.55" x14ac:dyDescent="0.25">
      <c r="A8" s="465"/>
      <c r="B8" s="401">
        <v>250000</v>
      </c>
      <c r="C8" s="398"/>
      <c r="D8" s="399">
        <v>1757</v>
      </c>
      <c r="E8" s="399">
        <v>2023</v>
      </c>
      <c r="F8" s="398"/>
      <c r="G8" s="399">
        <f>E8</f>
        <v>2023</v>
      </c>
      <c r="H8" s="399">
        <v>2395</v>
      </c>
      <c r="I8" s="398"/>
      <c r="J8" s="399">
        <f>H8</f>
        <v>2395</v>
      </c>
      <c r="K8" s="399">
        <v>2928</v>
      </c>
      <c r="L8" s="398"/>
      <c r="M8" s="399">
        <f>K8</f>
        <v>2928</v>
      </c>
      <c r="N8" s="399">
        <v>3300</v>
      </c>
      <c r="O8" s="398"/>
      <c r="P8" s="399">
        <f>N8</f>
        <v>3300</v>
      </c>
      <c r="Q8" s="399">
        <v>3566</v>
      </c>
    </row>
    <row r="9" spans="1:17" ht="14.55" x14ac:dyDescent="0.25">
      <c r="A9" s="465"/>
      <c r="B9" s="519">
        <v>275000</v>
      </c>
      <c r="C9" s="398"/>
      <c r="D9" s="402">
        <v>1789</v>
      </c>
      <c r="E9" s="402">
        <v>2061</v>
      </c>
      <c r="F9" s="398"/>
      <c r="G9" s="402">
        <f t="shared" ref="G9:G26" si="0">E9</f>
        <v>2061</v>
      </c>
      <c r="H9" s="402">
        <v>2440</v>
      </c>
      <c r="I9" s="398"/>
      <c r="J9" s="402">
        <f t="shared" ref="J9:J27" si="1">H9</f>
        <v>2440</v>
      </c>
      <c r="K9" s="402">
        <v>2982</v>
      </c>
      <c r="L9" s="398"/>
      <c r="M9" s="402">
        <f t="shared" ref="M9:M27" si="2">K9</f>
        <v>2982</v>
      </c>
      <c r="N9" s="402">
        <v>3362</v>
      </c>
      <c r="O9" s="398"/>
      <c r="P9" s="402">
        <f t="shared" ref="P9:P27" si="3">N9</f>
        <v>3362</v>
      </c>
      <c r="Q9" s="402">
        <v>3633</v>
      </c>
    </row>
    <row r="10" spans="1:17" ht="14.55" x14ac:dyDescent="0.25">
      <c r="A10" s="465"/>
      <c r="B10" s="519">
        <v>300000</v>
      </c>
      <c r="C10" s="398"/>
      <c r="D10" s="402">
        <v>1821</v>
      </c>
      <c r="E10" s="402">
        <v>2097</v>
      </c>
      <c r="F10" s="398"/>
      <c r="G10" s="402">
        <f t="shared" si="0"/>
        <v>2097</v>
      </c>
      <c r="H10" s="402">
        <v>2484</v>
      </c>
      <c r="I10" s="398"/>
      <c r="J10" s="402">
        <f t="shared" si="1"/>
        <v>2484</v>
      </c>
      <c r="K10" s="402">
        <v>3036</v>
      </c>
      <c r="L10" s="398"/>
      <c r="M10" s="402">
        <f t="shared" si="2"/>
        <v>3036</v>
      </c>
      <c r="N10" s="402">
        <v>3422</v>
      </c>
      <c r="O10" s="398"/>
      <c r="P10" s="402">
        <f t="shared" si="3"/>
        <v>3422</v>
      </c>
      <c r="Q10" s="402">
        <v>3698</v>
      </c>
    </row>
    <row r="11" spans="1:17" ht="14.55" x14ac:dyDescent="0.25">
      <c r="A11" s="465"/>
      <c r="B11" s="404">
        <v>350000</v>
      </c>
      <c r="C11" s="398"/>
      <c r="D11" s="402">
        <v>1883</v>
      </c>
      <c r="E11" s="402">
        <v>2168</v>
      </c>
      <c r="F11" s="398"/>
      <c r="G11" s="402">
        <f t="shared" si="0"/>
        <v>2168</v>
      </c>
      <c r="H11" s="402">
        <v>2567</v>
      </c>
      <c r="I11" s="398"/>
      <c r="J11" s="402">
        <f t="shared" si="1"/>
        <v>2567</v>
      </c>
      <c r="K11" s="402">
        <v>3138</v>
      </c>
      <c r="L11" s="398"/>
      <c r="M11" s="402">
        <f t="shared" si="2"/>
        <v>3138</v>
      </c>
      <c r="N11" s="402">
        <v>3537</v>
      </c>
      <c r="O11" s="398"/>
      <c r="P11" s="402">
        <f t="shared" si="3"/>
        <v>3537</v>
      </c>
      <c r="Q11" s="402">
        <v>3822</v>
      </c>
    </row>
    <row r="12" spans="1:17" ht="15.2" thickBot="1" x14ac:dyDescent="0.3">
      <c r="A12" s="465"/>
      <c r="B12" s="520">
        <v>400000</v>
      </c>
      <c r="C12" s="398"/>
      <c r="D12" s="405">
        <v>1941</v>
      </c>
      <c r="E12" s="405">
        <v>2235</v>
      </c>
      <c r="F12" s="398"/>
      <c r="G12" s="405">
        <f t="shared" si="0"/>
        <v>2235</v>
      </c>
      <c r="H12" s="405">
        <v>2647</v>
      </c>
      <c r="I12" s="398"/>
      <c r="J12" s="405">
        <f t="shared" si="1"/>
        <v>2647</v>
      </c>
      <c r="K12" s="405">
        <v>3235</v>
      </c>
      <c r="L12" s="398"/>
      <c r="M12" s="405">
        <f t="shared" si="2"/>
        <v>3235</v>
      </c>
      <c r="N12" s="405">
        <v>3646</v>
      </c>
      <c r="O12" s="398"/>
      <c r="P12" s="405">
        <f t="shared" si="3"/>
        <v>3646</v>
      </c>
      <c r="Q12" s="405">
        <v>3941</v>
      </c>
    </row>
    <row r="13" spans="1:17" ht="14.55" x14ac:dyDescent="0.25">
      <c r="A13" s="465"/>
      <c r="B13" s="401">
        <v>500000</v>
      </c>
      <c r="C13" s="398"/>
      <c r="D13" s="334">
        <v>2049</v>
      </c>
      <c r="E13" s="334">
        <v>2359</v>
      </c>
      <c r="F13" s="398"/>
      <c r="G13" s="334">
        <f t="shared" si="0"/>
        <v>2359</v>
      </c>
      <c r="H13" s="334">
        <v>2793</v>
      </c>
      <c r="I13" s="398"/>
      <c r="J13" s="334">
        <f t="shared" si="1"/>
        <v>2793</v>
      </c>
      <c r="K13" s="334">
        <v>3414</v>
      </c>
      <c r="L13" s="398"/>
      <c r="M13" s="334">
        <f t="shared" si="2"/>
        <v>3414</v>
      </c>
      <c r="N13" s="334">
        <v>3849</v>
      </c>
      <c r="O13" s="398"/>
      <c r="P13" s="334">
        <f t="shared" si="3"/>
        <v>3849</v>
      </c>
      <c r="Q13" s="334">
        <v>4159</v>
      </c>
    </row>
    <row r="14" spans="1:17" ht="14.55" x14ac:dyDescent="0.25">
      <c r="A14" s="465"/>
      <c r="B14" s="404">
        <v>600000</v>
      </c>
      <c r="C14" s="398"/>
      <c r="D14" s="402">
        <v>2146</v>
      </c>
      <c r="E14" s="402">
        <v>2471</v>
      </c>
      <c r="F14" s="398"/>
      <c r="G14" s="402">
        <f t="shared" si="0"/>
        <v>2471</v>
      </c>
      <c r="H14" s="402">
        <v>2926</v>
      </c>
      <c r="I14" s="398"/>
      <c r="J14" s="402">
        <f t="shared" si="1"/>
        <v>2926</v>
      </c>
      <c r="K14" s="402">
        <v>3576</v>
      </c>
      <c r="L14" s="398"/>
      <c r="M14" s="402">
        <f t="shared" si="2"/>
        <v>3576</v>
      </c>
      <c r="N14" s="402">
        <v>4031</v>
      </c>
      <c r="O14" s="398"/>
      <c r="P14" s="402">
        <f t="shared" si="3"/>
        <v>4031</v>
      </c>
      <c r="Q14" s="402">
        <v>4356</v>
      </c>
    </row>
    <row r="15" spans="1:17" ht="14.55" x14ac:dyDescent="0.25">
      <c r="A15" s="465"/>
      <c r="B15" s="404">
        <v>750000</v>
      </c>
      <c r="C15" s="398"/>
      <c r="D15" s="402">
        <v>2273</v>
      </c>
      <c r="E15" s="402">
        <v>2617</v>
      </c>
      <c r="F15" s="398"/>
      <c r="G15" s="402">
        <f t="shared" si="0"/>
        <v>2617</v>
      </c>
      <c r="H15" s="402">
        <v>3099</v>
      </c>
      <c r="I15" s="398"/>
      <c r="J15" s="402">
        <f t="shared" si="1"/>
        <v>3099</v>
      </c>
      <c r="K15" s="402">
        <v>3788</v>
      </c>
      <c r="L15" s="398"/>
      <c r="M15" s="402">
        <f t="shared" si="2"/>
        <v>3788</v>
      </c>
      <c r="N15" s="402">
        <v>4270</v>
      </c>
      <c r="O15" s="398"/>
      <c r="P15" s="402">
        <f t="shared" si="3"/>
        <v>4270</v>
      </c>
      <c r="Q15" s="402">
        <v>4614</v>
      </c>
    </row>
    <row r="16" spans="1:17" ht="14.55" x14ac:dyDescent="0.25">
      <c r="A16" s="465"/>
      <c r="B16" s="404">
        <v>1000000</v>
      </c>
      <c r="C16" s="398"/>
      <c r="D16" s="402">
        <v>2440</v>
      </c>
      <c r="E16" s="402">
        <v>2809</v>
      </c>
      <c r="F16" s="398"/>
      <c r="G16" s="402">
        <f t="shared" si="0"/>
        <v>2809</v>
      </c>
      <c r="H16" s="402">
        <v>3327</v>
      </c>
      <c r="I16" s="398"/>
      <c r="J16" s="402">
        <f t="shared" si="1"/>
        <v>3327</v>
      </c>
      <c r="K16" s="402">
        <v>4066</v>
      </c>
      <c r="L16" s="398"/>
      <c r="M16" s="402">
        <f t="shared" si="2"/>
        <v>4066</v>
      </c>
      <c r="N16" s="402">
        <v>4583</v>
      </c>
      <c r="O16" s="398"/>
      <c r="P16" s="402">
        <f t="shared" si="3"/>
        <v>4583</v>
      </c>
      <c r="Q16" s="402">
        <v>4953</v>
      </c>
    </row>
    <row r="17" spans="1:17" ht="15.2" thickBot="1" x14ac:dyDescent="0.3">
      <c r="A17" s="465"/>
      <c r="B17" s="520">
        <v>1250000</v>
      </c>
      <c r="C17" s="398"/>
      <c r="D17" s="405">
        <v>2748</v>
      </c>
      <c r="E17" s="405">
        <v>3164</v>
      </c>
      <c r="F17" s="398"/>
      <c r="G17" s="405">
        <f t="shared" si="0"/>
        <v>3164</v>
      </c>
      <c r="H17" s="405">
        <v>3747</v>
      </c>
      <c r="I17" s="398"/>
      <c r="J17" s="405">
        <f t="shared" si="1"/>
        <v>3747</v>
      </c>
      <c r="K17" s="405">
        <v>4579</v>
      </c>
      <c r="L17" s="398"/>
      <c r="M17" s="405">
        <f t="shared" si="2"/>
        <v>4579</v>
      </c>
      <c r="N17" s="405">
        <v>5162</v>
      </c>
      <c r="O17" s="398"/>
      <c r="P17" s="405">
        <f t="shared" si="3"/>
        <v>5162</v>
      </c>
      <c r="Q17" s="405">
        <v>5579</v>
      </c>
    </row>
    <row r="18" spans="1:17" ht="14.55" x14ac:dyDescent="0.25">
      <c r="A18" s="465"/>
      <c r="B18" s="401">
        <v>1500000</v>
      </c>
      <c r="C18" s="398"/>
      <c r="D18" s="334">
        <v>3050</v>
      </c>
      <c r="E18" s="334">
        <v>3512</v>
      </c>
      <c r="F18" s="398"/>
      <c r="G18" s="334">
        <f t="shared" si="0"/>
        <v>3512</v>
      </c>
      <c r="H18" s="334">
        <v>4159</v>
      </c>
      <c r="I18" s="398"/>
      <c r="J18" s="334">
        <f t="shared" si="1"/>
        <v>4159</v>
      </c>
      <c r="K18" s="334">
        <v>5083</v>
      </c>
      <c r="L18" s="398"/>
      <c r="M18" s="334">
        <f t="shared" si="2"/>
        <v>5083</v>
      </c>
      <c r="N18" s="334">
        <v>5730</v>
      </c>
      <c r="O18" s="398"/>
      <c r="P18" s="334">
        <f t="shared" si="3"/>
        <v>5730</v>
      </c>
      <c r="Q18" s="334">
        <v>6192</v>
      </c>
    </row>
    <row r="19" spans="1:17" ht="14.55" x14ac:dyDescent="0.25">
      <c r="A19" s="465"/>
      <c r="B19" s="404">
        <v>2000000</v>
      </c>
      <c r="C19" s="398"/>
      <c r="D19" s="402">
        <v>3639</v>
      </c>
      <c r="E19" s="402">
        <v>4190</v>
      </c>
      <c r="F19" s="398"/>
      <c r="G19" s="402">
        <f t="shared" si="0"/>
        <v>4190</v>
      </c>
      <c r="H19" s="402">
        <v>4962</v>
      </c>
      <c r="I19" s="398"/>
      <c r="J19" s="402">
        <f t="shared" si="1"/>
        <v>4962</v>
      </c>
      <c r="K19" s="402">
        <v>6065</v>
      </c>
      <c r="L19" s="398"/>
      <c r="M19" s="402">
        <f t="shared" si="2"/>
        <v>6065</v>
      </c>
      <c r="N19" s="402">
        <v>6837</v>
      </c>
      <c r="O19" s="398"/>
      <c r="P19" s="402">
        <f t="shared" si="3"/>
        <v>6837</v>
      </c>
      <c r="Q19" s="402">
        <v>7388</v>
      </c>
    </row>
    <row r="20" spans="1:17" ht="14.55" x14ac:dyDescent="0.25">
      <c r="A20" s="465"/>
      <c r="B20" s="404">
        <v>2500000</v>
      </c>
      <c r="C20" s="398"/>
      <c r="D20" s="402">
        <v>4213</v>
      </c>
      <c r="E20" s="402">
        <v>4851</v>
      </c>
      <c r="F20" s="398"/>
      <c r="G20" s="402">
        <f t="shared" si="0"/>
        <v>4851</v>
      </c>
      <c r="H20" s="402">
        <v>5745</v>
      </c>
      <c r="I20" s="398"/>
      <c r="J20" s="402">
        <f t="shared" si="1"/>
        <v>5745</v>
      </c>
      <c r="K20" s="402">
        <v>7022</v>
      </c>
      <c r="L20" s="398"/>
      <c r="M20" s="402">
        <f t="shared" si="2"/>
        <v>7022</v>
      </c>
      <c r="N20" s="402">
        <v>7916</v>
      </c>
      <c r="O20" s="398"/>
      <c r="P20" s="402">
        <f t="shared" si="3"/>
        <v>7916</v>
      </c>
      <c r="Q20" s="402">
        <v>8554</v>
      </c>
    </row>
    <row r="21" spans="1:17" ht="14.55" x14ac:dyDescent="0.25">
      <c r="A21" s="465"/>
      <c r="B21" s="404">
        <v>3500000</v>
      </c>
      <c r="C21" s="398"/>
      <c r="D21" s="402">
        <v>5329</v>
      </c>
      <c r="E21" s="402">
        <v>6136</v>
      </c>
      <c r="F21" s="398"/>
      <c r="G21" s="402">
        <f t="shared" si="0"/>
        <v>6136</v>
      </c>
      <c r="H21" s="402">
        <v>7266</v>
      </c>
      <c r="I21" s="398"/>
      <c r="J21" s="402">
        <f t="shared" si="1"/>
        <v>7266</v>
      </c>
      <c r="K21" s="402">
        <v>8881</v>
      </c>
      <c r="L21" s="398"/>
      <c r="M21" s="402">
        <f t="shared" si="2"/>
        <v>8881</v>
      </c>
      <c r="N21" s="402">
        <v>10012</v>
      </c>
      <c r="O21" s="398"/>
      <c r="P21" s="402">
        <f t="shared" si="3"/>
        <v>10012</v>
      </c>
      <c r="Q21" s="402">
        <v>10819</v>
      </c>
    </row>
    <row r="22" spans="1:17" ht="15.2" thickBot="1" x14ac:dyDescent="0.3">
      <c r="A22" s="465"/>
      <c r="B22" s="520">
        <v>5000000</v>
      </c>
      <c r="C22" s="398"/>
      <c r="D22" s="405">
        <v>6944</v>
      </c>
      <c r="E22" s="405">
        <v>7996</v>
      </c>
      <c r="F22" s="398"/>
      <c r="G22" s="405">
        <f t="shared" si="0"/>
        <v>7996</v>
      </c>
      <c r="H22" s="405">
        <v>9469</v>
      </c>
      <c r="I22" s="398"/>
      <c r="J22" s="405">
        <f t="shared" si="1"/>
        <v>9469</v>
      </c>
      <c r="K22" s="405">
        <v>11573</v>
      </c>
      <c r="L22" s="398"/>
      <c r="M22" s="405">
        <f t="shared" si="2"/>
        <v>11573</v>
      </c>
      <c r="N22" s="405">
        <v>13046</v>
      </c>
      <c r="O22" s="398"/>
      <c r="P22" s="405">
        <f t="shared" si="3"/>
        <v>13046</v>
      </c>
      <c r="Q22" s="405">
        <v>14098</v>
      </c>
    </row>
    <row r="23" spans="1:17" ht="14.55" x14ac:dyDescent="0.25">
      <c r="A23" s="465"/>
      <c r="B23" s="401">
        <v>7500000</v>
      </c>
      <c r="C23" s="398"/>
      <c r="D23" s="334">
        <v>9532</v>
      </c>
      <c r="E23" s="334">
        <v>10977</v>
      </c>
      <c r="F23" s="398"/>
      <c r="G23" s="334">
        <f t="shared" si="0"/>
        <v>10977</v>
      </c>
      <c r="H23" s="334">
        <v>12999</v>
      </c>
      <c r="I23" s="398"/>
      <c r="J23" s="334">
        <f t="shared" si="1"/>
        <v>12999</v>
      </c>
      <c r="K23" s="334">
        <v>15887</v>
      </c>
      <c r="L23" s="398"/>
      <c r="M23" s="334">
        <f t="shared" si="2"/>
        <v>15887</v>
      </c>
      <c r="N23" s="334">
        <v>17909</v>
      </c>
      <c r="O23" s="398"/>
      <c r="P23" s="334">
        <f t="shared" si="3"/>
        <v>17909</v>
      </c>
      <c r="Q23" s="334">
        <v>19354</v>
      </c>
    </row>
    <row r="24" spans="1:17" ht="14.55" x14ac:dyDescent="0.25">
      <c r="A24" s="465"/>
      <c r="B24" s="404">
        <v>10000000</v>
      </c>
      <c r="C24" s="398"/>
      <c r="D24" s="402">
        <v>12033</v>
      </c>
      <c r="E24" s="402">
        <v>13856</v>
      </c>
      <c r="F24" s="398"/>
      <c r="G24" s="402">
        <f t="shared" si="0"/>
        <v>13856</v>
      </c>
      <c r="H24" s="402">
        <v>16408</v>
      </c>
      <c r="I24" s="398"/>
      <c r="J24" s="402">
        <f t="shared" si="1"/>
        <v>16408</v>
      </c>
      <c r="K24" s="402">
        <v>20055</v>
      </c>
      <c r="L24" s="398"/>
      <c r="M24" s="402">
        <f t="shared" si="2"/>
        <v>20055</v>
      </c>
      <c r="N24" s="402">
        <v>22607</v>
      </c>
      <c r="O24" s="398"/>
      <c r="P24" s="402">
        <f t="shared" si="3"/>
        <v>22607</v>
      </c>
      <c r="Q24" s="402">
        <v>24430</v>
      </c>
    </row>
    <row r="25" spans="1:17" ht="14.55" x14ac:dyDescent="0.25">
      <c r="A25" s="465"/>
      <c r="B25" s="404">
        <v>15000000</v>
      </c>
      <c r="C25" s="398"/>
      <c r="D25" s="402">
        <v>16856</v>
      </c>
      <c r="E25" s="402">
        <v>19410</v>
      </c>
      <c r="F25" s="398"/>
      <c r="G25" s="402">
        <f t="shared" si="0"/>
        <v>19410</v>
      </c>
      <c r="H25" s="402">
        <v>22986</v>
      </c>
      <c r="I25" s="398"/>
      <c r="J25" s="402">
        <f t="shared" si="1"/>
        <v>22986</v>
      </c>
      <c r="K25" s="402">
        <v>28094</v>
      </c>
      <c r="L25" s="398"/>
      <c r="M25" s="402">
        <f t="shared" si="2"/>
        <v>28094</v>
      </c>
      <c r="N25" s="402">
        <v>31670</v>
      </c>
      <c r="O25" s="398"/>
      <c r="P25" s="402">
        <f t="shared" si="3"/>
        <v>31670</v>
      </c>
      <c r="Q25" s="402">
        <v>34224</v>
      </c>
    </row>
    <row r="26" spans="1:17" ht="14.55" x14ac:dyDescent="0.25">
      <c r="A26" s="465"/>
      <c r="B26" s="404">
        <v>20000000</v>
      </c>
      <c r="C26" s="398"/>
      <c r="D26" s="402">
        <v>21516</v>
      </c>
      <c r="E26" s="402">
        <v>24776</v>
      </c>
      <c r="F26" s="398"/>
      <c r="G26" s="402">
        <f t="shared" si="0"/>
        <v>24776</v>
      </c>
      <c r="H26" s="402">
        <v>29339</v>
      </c>
      <c r="I26" s="398"/>
      <c r="J26" s="402">
        <f t="shared" si="1"/>
        <v>29339</v>
      </c>
      <c r="K26" s="402">
        <v>35859</v>
      </c>
      <c r="L26" s="398"/>
      <c r="M26" s="402">
        <f t="shared" si="2"/>
        <v>35859</v>
      </c>
      <c r="N26" s="402">
        <v>40423</v>
      </c>
      <c r="O26" s="398"/>
      <c r="P26" s="402">
        <f t="shared" si="3"/>
        <v>40423</v>
      </c>
      <c r="Q26" s="402">
        <v>43683</v>
      </c>
    </row>
    <row r="27" spans="1:17" ht="15.2" thickBot="1" x14ac:dyDescent="0.3">
      <c r="A27" s="465"/>
      <c r="B27" s="408">
        <v>25000000</v>
      </c>
      <c r="C27" s="398"/>
      <c r="D27" s="410">
        <v>26056</v>
      </c>
      <c r="E27" s="410">
        <v>30004</v>
      </c>
      <c r="F27" s="398"/>
      <c r="G27" s="410">
        <f>E27</f>
        <v>30004</v>
      </c>
      <c r="H27" s="410">
        <v>35531</v>
      </c>
      <c r="I27" s="398"/>
      <c r="J27" s="410">
        <f t="shared" si="1"/>
        <v>35531</v>
      </c>
      <c r="K27" s="410">
        <v>43427</v>
      </c>
      <c r="L27" s="398"/>
      <c r="M27" s="410">
        <f t="shared" si="2"/>
        <v>43427</v>
      </c>
      <c r="N27" s="410">
        <v>48954</v>
      </c>
      <c r="O27" s="398"/>
      <c r="P27" s="410">
        <f t="shared" si="3"/>
        <v>48954</v>
      </c>
      <c r="Q27" s="410">
        <v>52902</v>
      </c>
    </row>
    <row r="28" spans="1:17" ht="14.55" x14ac:dyDescent="0.25">
      <c r="A28" s="74"/>
      <c r="B28" s="74"/>
      <c r="C28" s="74"/>
      <c r="D28" s="74"/>
      <c r="E28" s="74"/>
      <c r="F28" s="74"/>
      <c r="G28" s="74"/>
      <c r="H28" s="74"/>
      <c r="I28" s="74"/>
      <c r="J28" s="74"/>
      <c r="K28" s="74"/>
      <c r="L28" s="74"/>
      <c r="M28" s="74"/>
      <c r="N28" s="74"/>
      <c r="O28" s="74"/>
      <c r="P28" s="74"/>
      <c r="Q28" s="74"/>
    </row>
    <row r="29" spans="1:17" ht="14.55" x14ac:dyDescent="0.25">
      <c r="A29" s="74"/>
      <c r="B29" s="449" t="s">
        <v>486</v>
      </c>
      <c r="C29" s="74"/>
      <c r="D29" s="74"/>
      <c r="E29" s="447"/>
      <c r="F29" s="74"/>
      <c r="G29" s="74"/>
      <c r="H29" s="447"/>
      <c r="I29" s="74"/>
      <c r="J29" s="74"/>
      <c r="K29" s="74"/>
      <c r="L29" s="74"/>
      <c r="M29" s="74"/>
      <c r="N29" s="74"/>
      <c r="O29" s="74"/>
      <c r="P29" s="74"/>
      <c r="Q29" s="74"/>
    </row>
    <row r="30" spans="1:17" ht="14.55" x14ac:dyDescent="0.25">
      <c r="A30" s="74"/>
      <c r="B30" s="74"/>
      <c r="C30" s="74"/>
      <c r="D30" s="74"/>
      <c r="E30" s="447"/>
      <c r="F30" s="74"/>
      <c r="G30" s="74"/>
      <c r="H30" s="447"/>
      <c r="I30" s="74"/>
      <c r="J30" s="74"/>
      <c r="K30" s="74"/>
      <c r="L30" s="74"/>
      <c r="M30" s="74"/>
      <c r="N30" s="74"/>
      <c r="O30" s="74"/>
      <c r="P30" s="74"/>
      <c r="Q30" s="74"/>
    </row>
    <row r="31" spans="1:17" ht="14.55" x14ac:dyDescent="0.25">
      <c r="A31" s="74"/>
      <c r="B31" s="74"/>
      <c r="C31" s="74"/>
      <c r="D31" s="1204"/>
      <c r="E31" s="1204"/>
      <c r="F31" s="1204"/>
      <c r="G31" s="1204"/>
      <c r="H31" s="1204"/>
      <c r="I31" s="523"/>
      <c r="J31" s="451"/>
      <c r="K31" s="451"/>
      <c r="L31" s="451"/>
      <c r="M31" s="451"/>
      <c r="N31" s="451"/>
      <c r="O31" s="74"/>
      <c r="P31" s="74"/>
      <c r="Q31" s="74"/>
    </row>
    <row r="32" spans="1:17" ht="14.55" x14ac:dyDescent="0.25">
      <c r="A32" s="74"/>
      <c r="B32" s="74"/>
      <c r="C32" s="74"/>
      <c r="D32" s="74"/>
      <c r="E32" s="447"/>
      <c r="F32" s="74"/>
      <c r="G32" s="74"/>
      <c r="H32" s="447"/>
      <c r="I32" s="74"/>
      <c r="J32" s="74"/>
      <c r="K32" s="74"/>
      <c r="L32" s="74"/>
      <c r="M32" s="74"/>
      <c r="N32" s="74"/>
      <c r="O32" s="74"/>
      <c r="P32" s="74"/>
      <c r="Q32" s="74"/>
    </row>
    <row r="33" spans="1:17" ht="14.55" x14ac:dyDescent="0.25">
      <c r="A33" s="74"/>
      <c r="B33" s="74"/>
      <c r="C33" s="391"/>
      <c r="D33" s="1188" t="s">
        <v>337</v>
      </c>
      <c r="E33" s="387">
        <v>1</v>
      </c>
      <c r="F33" s="391"/>
      <c r="G33" s="1188" t="s">
        <v>338</v>
      </c>
      <c r="H33" s="387" t="s">
        <v>148</v>
      </c>
      <c r="I33" s="391"/>
      <c r="J33" s="74"/>
      <c r="K33" s="397"/>
      <c r="L33" s="391"/>
      <c r="M33" s="74"/>
      <c r="N33" s="397"/>
      <c r="O33" s="412"/>
      <c r="P33" s="465"/>
      <c r="Q33" s="465"/>
    </row>
    <row r="34" spans="1:17" ht="14.55" x14ac:dyDescent="0.25">
      <c r="A34" s="74"/>
      <c r="B34" s="74"/>
      <c r="C34" s="391"/>
      <c r="D34" s="1188"/>
      <c r="E34" s="387">
        <v>2</v>
      </c>
      <c r="F34" s="391"/>
      <c r="G34" s="1188"/>
      <c r="H34" s="387" t="s">
        <v>339</v>
      </c>
      <c r="I34" s="391"/>
      <c r="J34" s="74"/>
      <c r="K34" s="397"/>
      <c r="L34" s="391"/>
      <c r="M34" s="74"/>
      <c r="N34" s="397"/>
      <c r="O34" s="412"/>
      <c r="P34" s="465"/>
      <c r="Q34" s="465"/>
    </row>
    <row r="35" spans="1:17" ht="14.55" x14ac:dyDescent="0.25">
      <c r="A35" s="74"/>
      <c r="B35" s="74"/>
      <c r="C35" s="74"/>
      <c r="D35" s="1188"/>
      <c r="E35" s="387">
        <v>3</v>
      </c>
      <c r="F35" s="74"/>
      <c r="G35" s="1188"/>
      <c r="H35" s="387" t="s">
        <v>340</v>
      </c>
      <c r="I35" s="74"/>
      <c r="J35" s="74"/>
      <c r="K35" s="397"/>
      <c r="L35" s="74"/>
      <c r="M35" s="74"/>
      <c r="N35" s="397"/>
      <c r="O35" s="74"/>
      <c r="P35" s="74"/>
      <c r="Q35" s="74"/>
    </row>
    <row r="36" spans="1:17" ht="14.55" x14ac:dyDescent="0.25">
      <c r="A36" s="74"/>
      <c r="B36" s="74"/>
      <c r="C36" s="74"/>
      <c r="D36" s="1188"/>
      <c r="E36" s="387">
        <v>4</v>
      </c>
      <c r="F36" s="74"/>
      <c r="G36" s="1188"/>
      <c r="H36" s="387" t="s">
        <v>341</v>
      </c>
      <c r="I36" s="74"/>
      <c r="J36" s="74"/>
      <c r="K36" s="397"/>
      <c r="L36" s="74"/>
      <c r="M36" s="74"/>
      <c r="N36" s="397"/>
      <c r="O36" s="74"/>
      <c r="P36" s="74"/>
      <c r="Q36" s="74"/>
    </row>
    <row r="37" spans="1:17" ht="14.55" x14ac:dyDescent="0.25">
      <c r="A37" s="74"/>
      <c r="B37" s="74"/>
      <c r="C37" s="74"/>
      <c r="D37" s="1188"/>
      <c r="E37" s="387">
        <v>5</v>
      </c>
      <c r="F37" s="74"/>
      <c r="G37" s="1188"/>
      <c r="H37" s="387" t="s">
        <v>342</v>
      </c>
      <c r="I37" s="74"/>
      <c r="J37" s="74"/>
      <c r="K37" s="397"/>
      <c r="L37" s="74"/>
      <c r="M37" s="74"/>
      <c r="N37" s="397"/>
      <c r="O37" s="74"/>
      <c r="P37" s="74"/>
      <c r="Q37" s="74"/>
    </row>
    <row r="38" spans="1:17" ht="15.2" thickBot="1" x14ac:dyDescent="0.35">
      <c r="B38" s="384"/>
      <c r="C38" s="384"/>
      <c r="D38" s="384"/>
      <c r="E38" s="384"/>
      <c r="F38" s="384"/>
      <c r="G38" s="1179" t="s">
        <v>343</v>
      </c>
      <c r="H38" s="1179"/>
      <c r="I38" s="1180" t="s">
        <v>344</v>
      </c>
      <c r="J38" s="1180"/>
      <c r="K38" s="1180" t="s">
        <v>345</v>
      </c>
      <c r="L38" s="1180"/>
      <c r="M38" s="384"/>
    </row>
    <row r="39" spans="1:17" ht="15.2" thickBot="1" x14ac:dyDescent="0.3">
      <c r="B39" s="1230" t="s">
        <v>346</v>
      </c>
      <c r="C39" s="1231"/>
      <c r="D39" s="1231"/>
      <c r="E39" s="1232"/>
      <c r="F39" s="74"/>
      <c r="G39" s="1225" t="e">
        <f>#REF!</f>
        <v>#REF!</v>
      </c>
      <c r="H39" s="1226"/>
      <c r="I39" s="1225" t="e">
        <f>#REF!</f>
        <v>#REF!</v>
      </c>
      <c r="J39" s="1226"/>
      <c r="K39" s="1225" t="e">
        <f>#REF!</f>
        <v>#REF!</v>
      </c>
      <c r="L39" s="1226"/>
      <c r="M39" s="524"/>
      <c r="N39" s="524"/>
    </row>
    <row r="40" spans="1:17" ht="14.55" x14ac:dyDescent="0.3">
      <c r="B40" s="74"/>
      <c r="C40" s="74"/>
      <c r="D40" s="74"/>
      <c r="E40" s="74"/>
      <c r="F40" s="74"/>
      <c r="G40" s="74"/>
      <c r="H40" s="74"/>
      <c r="I40" s="384"/>
      <c r="J40" s="384"/>
      <c r="K40" s="384"/>
      <c r="L40" s="384"/>
      <c r="M40" s="74"/>
      <c r="N40" s="74"/>
    </row>
    <row r="41" spans="1:17" ht="14.55" x14ac:dyDescent="0.3">
      <c r="B41" s="449"/>
      <c r="C41" s="74"/>
      <c r="D41" s="74"/>
      <c r="E41" s="74"/>
      <c r="F41" s="74"/>
      <c r="G41" s="74"/>
      <c r="H41" s="74"/>
      <c r="I41" s="384"/>
      <c r="J41" s="384"/>
      <c r="K41" s="384"/>
      <c r="L41" s="384"/>
      <c r="M41" s="74"/>
      <c r="N41" s="74"/>
    </row>
    <row r="42" spans="1:17" ht="14.55" x14ac:dyDescent="0.3">
      <c r="B42" s="74"/>
      <c r="C42" s="74"/>
      <c r="D42" s="74"/>
      <c r="E42" s="74"/>
      <c r="F42" s="74"/>
      <c r="G42" s="74"/>
      <c r="H42" s="74"/>
      <c r="I42" s="384"/>
      <c r="J42" s="384"/>
      <c r="K42" s="384"/>
      <c r="L42" s="384"/>
      <c r="M42" s="74"/>
      <c r="N42" s="74"/>
    </row>
    <row r="43" spans="1:17" ht="14.55" x14ac:dyDescent="0.3">
      <c r="B43" s="1242" t="s">
        <v>337</v>
      </c>
      <c r="C43" s="1243"/>
      <c r="D43" s="1243"/>
      <c r="E43" s="1244"/>
      <c r="F43" s="458"/>
      <c r="G43" s="1181" t="e">
        <f>#REF!</f>
        <v>#REF!</v>
      </c>
      <c r="H43" s="1182"/>
      <c r="I43" s="384"/>
      <c r="J43" s="384"/>
      <c r="K43" s="525"/>
      <c r="L43" s="384"/>
      <c r="M43" s="459"/>
      <c r="N43" s="459"/>
    </row>
    <row r="44" spans="1:17" ht="14.55" x14ac:dyDescent="0.3">
      <c r="B44" s="1242" t="s">
        <v>338</v>
      </c>
      <c r="C44" s="1243"/>
      <c r="D44" s="1243"/>
      <c r="E44" s="1244"/>
      <c r="F44" s="458"/>
      <c r="G44" s="1181" t="e">
        <f>#REF!</f>
        <v>#REF!</v>
      </c>
      <c r="H44" s="1182"/>
      <c r="I44" s="384"/>
      <c r="J44" s="384"/>
      <c r="K44" s="384"/>
      <c r="L44" s="384"/>
      <c r="M44" s="459"/>
      <c r="N44" s="459"/>
    </row>
    <row r="45" spans="1:17" ht="14.55" x14ac:dyDescent="0.3">
      <c r="B45" s="74"/>
      <c r="C45" s="74"/>
      <c r="D45" s="74"/>
      <c r="E45" s="74"/>
      <c r="F45" s="74"/>
      <c r="G45" s="74"/>
      <c r="H45" s="74"/>
      <c r="I45" s="384"/>
      <c r="J45" s="384"/>
      <c r="K45" s="384"/>
      <c r="L45" s="384"/>
      <c r="M45" s="384"/>
    </row>
    <row r="46" spans="1:17" ht="14.55" x14ac:dyDescent="0.3">
      <c r="B46" s="74"/>
      <c r="C46" s="74"/>
      <c r="D46" s="74"/>
      <c r="E46" s="74"/>
      <c r="F46" s="74"/>
      <c r="G46" s="74"/>
      <c r="H46" s="74"/>
      <c r="I46" s="384"/>
      <c r="J46" s="384"/>
      <c r="K46" s="384"/>
      <c r="L46" s="384"/>
      <c r="M46" s="384"/>
    </row>
    <row r="47" spans="1:17" ht="14.55" x14ac:dyDescent="0.3">
      <c r="B47" s="449" t="s">
        <v>347</v>
      </c>
      <c r="C47" s="74"/>
      <c r="D47" s="74"/>
      <c r="E47" s="74"/>
      <c r="F47" s="74"/>
      <c r="G47" s="74"/>
      <c r="H47" s="74"/>
      <c r="I47" s="384"/>
      <c r="J47" s="384"/>
      <c r="K47" s="384"/>
      <c r="L47" s="384"/>
      <c r="M47" s="384"/>
    </row>
    <row r="48" spans="1:17" ht="14.55" x14ac:dyDescent="0.3">
      <c r="B48" s="74"/>
      <c r="C48" s="74"/>
      <c r="D48" s="74"/>
      <c r="E48" s="74"/>
      <c r="F48" s="74"/>
      <c r="G48" s="1179" t="s">
        <v>343</v>
      </c>
      <c r="H48" s="1179"/>
      <c r="I48" s="1180" t="s">
        <v>344</v>
      </c>
      <c r="J48" s="1180"/>
      <c r="K48" s="1185" t="s">
        <v>345</v>
      </c>
      <c r="L48" s="1185"/>
      <c r="M48" s="1185"/>
    </row>
    <row r="49" spans="2:14" ht="14.55" x14ac:dyDescent="0.25">
      <c r="C49" s="449"/>
      <c r="D49" s="1222" t="s">
        <v>348</v>
      </c>
      <c r="E49" s="1171" t="s">
        <v>337</v>
      </c>
      <c r="F49" s="460"/>
      <c r="G49" s="526" t="s">
        <v>349</v>
      </c>
      <c r="H49" s="527" t="e">
        <f>IF($G$39&lt;$B$8,0,IF($G$39&gt;$B$27,0,VLOOKUP($G$39,$B$8:$B$27,1)))</f>
        <v>#REF!</v>
      </c>
      <c r="I49" s="526" t="s">
        <v>349</v>
      </c>
      <c r="J49" s="527" t="e">
        <f>IF($I$39&lt;$B$8,0,IF($I$39&gt;$B$27,0,VLOOKUP($I$39,$B$8:$B$27,1)))</f>
        <v>#REF!</v>
      </c>
      <c r="K49" s="526" t="s">
        <v>349</v>
      </c>
      <c r="L49" s="1175" t="e">
        <f>IF($K$39&lt;$B$8,0,IF($K$39&gt;$B$27,0,VLOOKUP(K39,B8:B27,1)))</f>
        <v>#REF!</v>
      </c>
      <c r="M49" s="1176"/>
      <c r="N49" s="460"/>
    </row>
    <row r="50" spans="2:14" ht="14.55" x14ac:dyDescent="0.25">
      <c r="B50" s="449"/>
      <c r="C50" s="449"/>
      <c r="D50" s="1223"/>
      <c r="E50" s="1172"/>
      <c r="F50" s="74"/>
      <c r="G50" s="463" t="s">
        <v>148</v>
      </c>
      <c r="H50" s="464" t="s">
        <v>342</v>
      </c>
      <c r="I50" s="463" t="s">
        <v>148</v>
      </c>
      <c r="J50" s="464" t="s">
        <v>342</v>
      </c>
      <c r="K50" s="463" t="s">
        <v>148</v>
      </c>
      <c r="L50" s="1177" t="s">
        <v>342</v>
      </c>
      <c r="M50" s="1178"/>
      <c r="N50" s="465"/>
    </row>
    <row r="51" spans="2:14" ht="14.55" x14ac:dyDescent="0.25">
      <c r="B51" s="449"/>
      <c r="C51" s="449"/>
      <c r="D51" s="1223"/>
      <c r="E51" s="561">
        <v>1</v>
      </c>
      <c r="F51" s="74"/>
      <c r="G51" s="462" t="e">
        <f>IF($G$39&lt;$B$8,0,IF($G$39&gt;$B$27,0,VLOOKUP($H$49,$B$8:$Q$27,3)))</f>
        <v>#REF!</v>
      </c>
      <c r="H51" s="462" t="e">
        <f>IF($G$39&lt;$B$8,0,IF($G$39&gt;$B$27,0,VLOOKUP(G51,$D$8:$E$27,2)))</f>
        <v>#REF!</v>
      </c>
      <c r="I51" s="462" t="e">
        <f>IF($I$39&lt;$B$8,0,IF($I$39&gt;$B$27,0,VLOOKUP($J$49,$B$8:$Q$27,6)))</f>
        <v>#REF!</v>
      </c>
      <c r="J51" s="462" t="e">
        <f>IF($I$39&lt;$B$8,0,IF($I$39&gt;$B$27,0,VLOOKUP(I51,$D$8:$E$27,2)))</f>
        <v>#REF!</v>
      </c>
      <c r="K51" s="462" t="e">
        <f>IF($K$39&lt;$B$8,0,IF($K$39&gt;$B$27,0,VLOOKUP($L$49,$B$8:$Q$27,3)))</f>
        <v>#REF!</v>
      </c>
      <c r="L51" s="1173" t="e">
        <f>IF($K$39&lt;$B$8,0,IF($K$39&gt;$B$27,0,VLOOKUP(K51,$D$8:$E$27,2)))</f>
        <v>#REF!</v>
      </c>
      <c r="M51" s="1174"/>
      <c r="N51" s="460"/>
    </row>
    <row r="52" spans="2:14" ht="14.55" x14ac:dyDescent="0.25">
      <c r="B52" s="449"/>
      <c r="C52" s="449"/>
      <c r="D52" s="1223"/>
      <c r="E52" s="561">
        <v>2</v>
      </c>
      <c r="F52" s="74"/>
      <c r="G52" s="462" t="e">
        <f>IF($G$39&lt;$B$8,0,IF($G$39&gt;$B$27,0,VLOOKUP($H$49,$B$8:$Q$27,6)))</f>
        <v>#REF!</v>
      </c>
      <c r="H52" s="462" t="e">
        <f>IF($G$39&lt;$B$8,0,IF($G$39&gt;$B$27,0,VLOOKUP(G52,$G$8:$H$27,2)))</f>
        <v>#REF!</v>
      </c>
      <c r="I52" s="462" t="e">
        <f>IF($I$39&lt;$B$8,0,IF($I$39&gt;$B$27,0,VLOOKUP($J$49,$B$8:$Q$27,6)))</f>
        <v>#REF!</v>
      </c>
      <c r="J52" s="462" t="e">
        <f>IF($I$39&lt;$B$8,0,IF($I$39&gt;$B$27,0,VLOOKUP(I52,$G$8:$H$27,2)))</f>
        <v>#REF!</v>
      </c>
      <c r="K52" s="462" t="e">
        <f>IF($K$39&lt;$B$8,0,IF($K$39&gt;$B$27,0,VLOOKUP($L$49,$B$8:$Q$27,6)))</f>
        <v>#REF!</v>
      </c>
      <c r="L52" s="1173" t="e">
        <f>IF($K$39&lt;$B$8,0,IF($K$39&gt;$B$27,0,VLOOKUP(K52,$G$8:$H$27,2)))</f>
        <v>#REF!</v>
      </c>
      <c r="M52" s="1174"/>
      <c r="N52" s="460"/>
    </row>
    <row r="53" spans="2:14" ht="14.55" x14ac:dyDescent="0.25">
      <c r="B53" s="449"/>
      <c r="C53" s="449"/>
      <c r="D53" s="1223"/>
      <c r="E53" s="561">
        <v>3</v>
      </c>
      <c r="F53" s="74"/>
      <c r="G53" s="462" t="e">
        <f>IF($G$39&lt;$B$8,0,IF($G$39&gt;$B$27,0,VLOOKUP($H$49,$B$8:$Q$27,9)))</f>
        <v>#REF!</v>
      </c>
      <c r="H53" s="462" t="e">
        <f>IF($G$39&lt;$B$8,0,IF($G$39&gt;$B$27,0,VLOOKUP(G53,$J$8:$K$27,2)))</f>
        <v>#REF!</v>
      </c>
      <c r="I53" s="462" t="e">
        <f>IF($I$39&lt;$B$8,0,IF($I$39&gt;$B$27,0,VLOOKUP($J$49,$B$8:$Q$27,9)))</f>
        <v>#REF!</v>
      </c>
      <c r="J53" s="462" t="e">
        <f>IF($I$39&lt;$B$8,0,IF($I$39&gt;$B$27,0,VLOOKUP(I53,$J$8:$K$27,2)))</f>
        <v>#REF!</v>
      </c>
      <c r="K53" s="462" t="e">
        <f>IF($K$39&lt;$B$8,0,IF($K$39&gt;$B$27,0,VLOOKUP($L$49,$B$8:$Q$27,9)))</f>
        <v>#REF!</v>
      </c>
      <c r="L53" s="1173" t="e">
        <f>IF($K$39&lt;$B$8,0,IF($K$39&gt;$B$27,0,VLOOKUP(K53,$J$8:$K$27,2)))</f>
        <v>#REF!</v>
      </c>
      <c r="M53" s="1174"/>
      <c r="N53" s="460"/>
    </row>
    <row r="54" spans="2:14" ht="14.55" x14ac:dyDescent="0.25">
      <c r="B54" s="449"/>
      <c r="C54" s="449"/>
      <c r="D54" s="1223"/>
      <c r="E54" s="561">
        <v>4</v>
      </c>
      <c r="F54" s="74"/>
      <c r="G54" s="462" t="e">
        <f>IF($G$39&lt;$B$8,0,IF($G$39&gt;$B$27,0,VLOOKUP($H$49,$B$8:$Q$27,12)))</f>
        <v>#REF!</v>
      </c>
      <c r="H54" s="462" t="e">
        <f>IF($G$39&lt;$B$8,0,IF($G$39&gt;$B$27,0,VLOOKUP(G54,$M$8:$N$27,2)))</f>
        <v>#REF!</v>
      </c>
      <c r="I54" s="462" t="e">
        <f>IF($I$39&lt;$B$8,0,IF($I$39&gt;$B$27,0,VLOOKUP($J$49,$B$8:$Q$27,12)))</f>
        <v>#REF!</v>
      </c>
      <c r="J54" s="462" t="e">
        <f>IF($I$39&lt;$B$8,0,IF($I$39&gt;$B$27,0,VLOOKUP(I54,$M$8:$N$27,2)))</f>
        <v>#REF!</v>
      </c>
      <c r="K54" s="462" t="e">
        <f>IF($K$39&lt;$B$8,0,IF($K$39&gt;$B$27,0,VLOOKUP($L$49,$B$8:$Q$27,12)))</f>
        <v>#REF!</v>
      </c>
      <c r="L54" s="1173" t="e">
        <f>IF($K$39&lt;$B$8,0,IF($K$39&gt;$B$27,0,VLOOKUP(K54,$M$8:$N$27,2)))</f>
        <v>#REF!</v>
      </c>
      <c r="M54" s="1174"/>
      <c r="N54" s="460"/>
    </row>
    <row r="55" spans="2:14" ht="14.55" x14ac:dyDescent="0.25">
      <c r="B55" s="449"/>
      <c r="C55" s="449"/>
      <c r="D55" s="1224"/>
      <c r="E55" s="561">
        <v>5</v>
      </c>
      <c r="F55" s="74"/>
      <c r="G55" s="462" t="e">
        <f>IF($G$39&lt;$B$8,0,IF($G$39&gt;$B$27,0,VLOOKUP($H$49,$B$8:$Q$27,15)))</f>
        <v>#REF!</v>
      </c>
      <c r="H55" s="462" t="e">
        <f>IF($G$39&lt;$B$8,0,IF($G$39&gt;$B$27,0,VLOOKUP(G55,$P$8:$Q$27,2)))</f>
        <v>#REF!</v>
      </c>
      <c r="I55" s="462" t="e">
        <f>IF($I$39&lt;$B$8,0,IF($I$39&gt;$B$27,0,VLOOKUP($J$49,$B$8:$Q$27,15)))</f>
        <v>#REF!</v>
      </c>
      <c r="J55" s="462" t="e">
        <f>IF($I$39&lt;$B$8,0,IF($I$39&gt;$B$27,0,VLOOKUP(I55,$P$8:$Q$27,2)))</f>
        <v>#REF!</v>
      </c>
      <c r="K55" s="462" t="e">
        <f>IF($K$39&lt;$B$8,0,IF($K$39&gt;$B$27,0,VLOOKUP($L$49,$B$8:$Q$27,15)))</f>
        <v>#REF!</v>
      </c>
      <c r="L55" s="1173" t="e">
        <f>IF($K$39&lt;$B$8,0,IF($K$39&gt;$B$27,0,VLOOKUP(K55,$P$8:$Q$27,2)))</f>
        <v>#REF!</v>
      </c>
      <c r="M55" s="1174"/>
      <c r="N55" s="460"/>
    </row>
    <row r="56" spans="2:14" ht="14.55" x14ac:dyDescent="0.25">
      <c r="B56" s="396"/>
      <c r="C56" s="396"/>
      <c r="D56" s="396"/>
      <c r="E56" s="74"/>
      <c r="F56" s="74"/>
      <c r="G56" s="528"/>
      <c r="H56" s="465"/>
    </row>
    <row r="57" spans="2:14" ht="14.55" x14ac:dyDescent="0.25">
      <c r="C57" s="449"/>
      <c r="D57" s="1222" t="s">
        <v>350</v>
      </c>
      <c r="E57" s="1171" t="s">
        <v>337</v>
      </c>
      <c r="F57" s="74"/>
      <c r="G57" s="461" t="s">
        <v>349</v>
      </c>
      <c r="H57" s="462" t="e" cm="1">
        <f t="array" ref="H57">IF($G$39&lt;$B$8,0,IF(G39&gt;B27,0,INDEX(B8:B27,MATCH(G39,B8:B27,1)+1,1)))</f>
        <v>#REF!</v>
      </c>
      <c r="I57" s="461" t="s">
        <v>349</v>
      </c>
      <c r="J57" s="462" t="e">
        <f>IF(I39&lt;25000,0,IF(I39&gt;25000000,0,INDEX(B8:B27,MATCH(I39,B8:B27,1)+1,1)))</f>
        <v>#REF!</v>
      </c>
      <c r="K57" s="461" t="s">
        <v>349</v>
      </c>
      <c r="L57" s="1175" t="e" cm="1">
        <f t="array" ref="L57">IF($K$39&lt;$B$8,0,IF($K$39&gt;$B$27,0,INDEX(B8:B27,MATCH(K39,B8:B27,1)+1,1)))</f>
        <v>#REF!</v>
      </c>
      <c r="M57" s="1176"/>
      <c r="N57" s="460"/>
    </row>
    <row r="58" spans="2:14" ht="14.55" x14ac:dyDescent="0.25">
      <c r="B58" s="449"/>
      <c r="C58" s="449"/>
      <c r="D58" s="1223"/>
      <c r="E58" s="1172"/>
      <c r="F58" s="74"/>
      <c r="G58" s="463" t="s">
        <v>148</v>
      </c>
      <c r="H58" s="464" t="s">
        <v>342</v>
      </c>
      <c r="I58" s="463" t="s">
        <v>148</v>
      </c>
      <c r="J58" s="464" t="s">
        <v>342</v>
      </c>
      <c r="K58" s="463" t="s">
        <v>148</v>
      </c>
      <c r="L58" s="1177" t="s">
        <v>342</v>
      </c>
      <c r="M58" s="1178"/>
      <c r="N58" s="465"/>
    </row>
    <row r="59" spans="2:14" ht="14.55" x14ac:dyDescent="0.25">
      <c r="B59" s="449"/>
      <c r="C59" s="449"/>
      <c r="D59" s="1223"/>
      <c r="E59" s="561">
        <v>1</v>
      </c>
      <c r="F59" s="74"/>
      <c r="G59" s="462" t="e">
        <f>IF($G$39&lt;$B$8,0,IF($G$39&gt;$B$27,0,VLOOKUP($H$57,$B$8:$Q$27,3)))</f>
        <v>#REF!</v>
      </c>
      <c r="H59" s="462" t="e">
        <f>IF($G$39&lt;$B$8,0,IF($G$39&gt;$B$27,0,VLOOKUP(G59,$D$8:$E$27,2)))</f>
        <v>#REF!</v>
      </c>
      <c r="I59" s="462" t="e">
        <f>IF($I$39&lt;$B$8,0,IF($I$39&gt;$B$27,0,VLOOKUP($J$57,$B$8:$Q$27,3)))</f>
        <v>#REF!</v>
      </c>
      <c r="J59" s="462" t="e">
        <f>IF($I$39&lt;$B$8,0,IF($I$39&gt;$B$27,0,VLOOKUP(I59,$D$8:$E$27,2)))</f>
        <v>#REF!</v>
      </c>
      <c r="K59" s="462" t="e">
        <f>IF($K$39&lt;$B$8,0,IF($K$39&gt;$B$27,0,VLOOKUP($L$57,$B$8:$Q$27,3)))</f>
        <v>#REF!</v>
      </c>
      <c r="L59" s="1173" t="e">
        <f>IF($K$39&lt;$B$8,0,IF($K$39&gt;$B$27,0,VLOOKUP(K59,$D$8:$E$27,2)))</f>
        <v>#REF!</v>
      </c>
      <c r="M59" s="1174"/>
      <c r="N59" s="460"/>
    </row>
    <row r="60" spans="2:14" ht="14.55" x14ac:dyDescent="0.25">
      <c r="B60" s="449"/>
      <c r="C60" s="449"/>
      <c r="D60" s="1223"/>
      <c r="E60" s="561">
        <v>2</v>
      </c>
      <c r="F60" s="74"/>
      <c r="G60" s="462" t="e">
        <f>IF($G$39&lt;$B$8,0,IF($G$39&gt;$B$27,0,VLOOKUP($H$57,$B$8:$Q$27,6)))</f>
        <v>#REF!</v>
      </c>
      <c r="H60" s="462" t="e">
        <f>IF($G$39&lt;$B$8,0,IF($G$39&gt;$B$27,0,VLOOKUP(G60,$G$8:$H$27,2)))</f>
        <v>#REF!</v>
      </c>
      <c r="I60" s="462" t="e">
        <f>IF($I$39&lt;$B$8,0,IF($I$39&gt;$B$27,0,VLOOKUP($J$57,$B$8:$Q$27,6)))</f>
        <v>#REF!</v>
      </c>
      <c r="J60" s="462" t="e">
        <f>IF($I$39&lt;$B$8,0,IF($I$39&gt;$B$27,0,VLOOKUP(I60,$G$8:$H$27,2)))</f>
        <v>#REF!</v>
      </c>
      <c r="K60" s="462" t="e">
        <f>IF($K$39&lt;$B$8,0,IF($K$39&gt;$B$27,0,VLOOKUP($L$57,$B$8:$Q$27,6)))</f>
        <v>#REF!</v>
      </c>
      <c r="L60" s="1173" t="e">
        <f>IF($K$39&lt;$B$8,0,IF($K$39&gt;$B$27,0,VLOOKUP(K60,$G$8:$H$27,2)))</f>
        <v>#REF!</v>
      </c>
      <c r="M60" s="1174"/>
      <c r="N60" s="460"/>
    </row>
    <row r="61" spans="2:14" ht="14.55" x14ac:dyDescent="0.25">
      <c r="B61" s="449"/>
      <c r="C61" s="449"/>
      <c r="D61" s="1223"/>
      <c r="E61" s="561">
        <v>3</v>
      </c>
      <c r="F61" s="74"/>
      <c r="G61" s="462" t="e">
        <f>IF($G$39&lt;$B$8,0,IF($G$39&gt;$B$27,0,VLOOKUP($H$57,$B$8:$Q$27,9)))</f>
        <v>#REF!</v>
      </c>
      <c r="H61" s="462" t="e">
        <f>IF($G$39&lt;$B$8,0,IF($G$39&gt;$B$27,0,VLOOKUP(G61,$J$8:$K$27,2)))</f>
        <v>#REF!</v>
      </c>
      <c r="I61" s="462" t="e">
        <f>IF($I$39&lt;$B$8,0,IF($I$39&gt;$B$27,0,VLOOKUP($J$57,$B$8:$Q$27,9)))</f>
        <v>#REF!</v>
      </c>
      <c r="J61" s="462" t="e">
        <f>IF($I$39&lt;$B$8,0,IF($I$39&gt;$B$27,0,VLOOKUP(I61,$J$8:$K$27,2)))</f>
        <v>#REF!</v>
      </c>
      <c r="K61" s="462" t="e">
        <f>IF($K$39&lt;$B$8,0,IF($K$39&gt;$B$27,0,VLOOKUP($L$57,$B$8:$Q$27,9)))</f>
        <v>#REF!</v>
      </c>
      <c r="L61" s="1173" t="e">
        <f>IF($K$39&lt;$B$8,0,IF($K$39&gt;$B$27,0,VLOOKUP(K61,$J$8:$K$27,2)))</f>
        <v>#REF!</v>
      </c>
      <c r="M61" s="1174"/>
      <c r="N61" s="460"/>
    </row>
    <row r="62" spans="2:14" ht="14.55" x14ac:dyDescent="0.25">
      <c r="B62" s="449"/>
      <c r="C62" s="449"/>
      <c r="D62" s="1223"/>
      <c r="E62" s="561">
        <v>4</v>
      </c>
      <c r="F62" s="74"/>
      <c r="G62" s="462" t="e">
        <f>IF($G$39&lt;$B$8,0,IF($G$39&gt;$B$27,0,VLOOKUP($H$57,$B$8:$Q$27,12)))</f>
        <v>#REF!</v>
      </c>
      <c r="H62" s="462" t="e">
        <f>IF($G$39&lt;$B$8,0,IF($G$39&gt;$B$27,0,VLOOKUP(G62,$M$8:$N$27,2)))</f>
        <v>#REF!</v>
      </c>
      <c r="I62" s="462" t="e">
        <f>IF($I$39&lt;$B$8,0,IF($I$39&gt;$B$27,0,VLOOKUP($J$57,$B$8:$Q$27,12)))</f>
        <v>#REF!</v>
      </c>
      <c r="J62" s="462" t="e">
        <f>IF($I$39&lt;$B$8,0,IF($I$39&gt;$B$27,0,VLOOKUP(I62,$M$8:$N$27,2)))</f>
        <v>#REF!</v>
      </c>
      <c r="K62" s="462" t="e">
        <f>IF($K$39&lt;$B$8,0,IF($K$39&gt;$B$27,0,VLOOKUP($L$57,$B$8:$Q$27,12)))</f>
        <v>#REF!</v>
      </c>
      <c r="L62" s="1173" t="e">
        <f>IF($K$39&lt;$B$8,0,IF($K$39&gt;$B$27,0,VLOOKUP(K62,$M$8:$N$27,2)))</f>
        <v>#REF!</v>
      </c>
      <c r="M62" s="1174"/>
      <c r="N62" s="460"/>
    </row>
    <row r="63" spans="2:14" ht="14.55" x14ac:dyDescent="0.25">
      <c r="B63" s="449"/>
      <c r="C63" s="449"/>
      <c r="D63" s="1224"/>
      <c r="E63" s="561">
        <v>5</v>
      </c>
      <c r="F63" s="74"/>
      <c r="G63" s="462" t="e">
        <f>IF($G$39&lt;$B$8,0,IF($G$39&gt;$B$27,0,VLOOKUP($H$57,$B$8:$Q$27,15)))</f>
        <v>#REF!</v>
      </c>
      <c r="H63" s="462" t="e">
        <f>IF($G$39&lt;$B$8,0,IF($G$39&gt;$B$27,0,VLOOKUP(G63,$P$8:$Q$27,2)))</f>
        <v>#REF!</v>
      </c>
      <c r="I63" s="462" t="e">
        <f>IF($I$39&lt;$B$8,0,IF($I$39&gt;$B$27,0,VLOOKUP($J$57,$B$8:$Q$27,15)))</f>
        <v>#REF!</v>
      </c>
      <c r="J63" s="462" t="e">
        <f>IF($I$39&lt;$B$8,0,IF($I$39&gt;$B$27,0,VLOOKUP(I63,$P$8:$Q$27,2)))</f>
        <v>#REF!</v>
      </c>
      <c r="K63" s="462" t="e">
        <f>IF($K$39&lt;$B$8,0,IF($K$39&gt;$B$27,0,VLOOKUP($L$57,$B$8:$Q$27,15)))</f>
        <v>#REF!</v>
      </c>
      <c r="L63" s="1173" t="e">
        <f>IF($K$39&lt;$B$8,0,IF($K$39&gt;$B$27,0,VLOOKUP(K63,$P$8:$Q$27,2)))</f>
        <v>#REF!</v>
      </c>
      <c r="M63" s="1174"/>
      <c r="N63" s="460"/>
    </row>
    <row r="65" spans="2:14" x14ac:dyDescent="0.25">
      <c r="B65" s="383" t="s">
        <v>351</v>
      </c>
    </row>
    <row r="67" spans="2:14" ht="14.55" x14ac:dyDescent="0.25">
      <c r="B67" s="396"/>
      <c r="C67" s="396"/>
      <c r="D67" s="396"/>
      <c r="E67" s="74"/>
      <c r="F67" s="74"/>
      <c r="G67" s="463" t="s">
        <v>148</v>
      </c>
      <c r="H67" s="464" t="s">
        <v>342</v>
      </c>
      <c r="I67" s="463" t="s">
        <v>148</v>
      </c>
      <c r="J67" s="464" t="s">
        <v>342</v>
      </c>
      <c r="K67" s="463" t="s">
        <v>148</v>
      </c>
      <c r="L67" s="1188" t="s">
        <v>342</v>
      </c>
      <c r="M67" s="1188"/>
      <c r="N67" s="465"/>
    </row>
    <row r="68" spans="2:14" ht="14.55" x14ac:dyDescent="0.25">
      <c r="B68" s="1238" t="s">
        <v>348</v>
      </c>
      <c r="C68" s="1238"/>
      <c r="D68" s="1238"/>
      <c r="E68" s="1238"/>
      <c r="F68" s="74"/>
      <c r="G68" s="468" t="e">
        <f>VLOOKUP($G$43,$E$51:$H$55,3)</f>
        <v>#REF!</v>
      </c>
      <c r="H68" s="468" t="e">
        <f>VLOOKUP(G43,$E$51:$H$55,4)</f>
        <v>#REF!</v>
      </c>
      <c r="I68" s="468" t="e">
        <f>VLOOKUP($G$43,$E$51:$J$55,5)</f>
        <v>#REF!</v>
      </c>
      <c r="J68" s="468" t="e">
        <f>VLOOKUP(G43,$E$51:$J$55,6)</f>
        <v>#REF!</v>
      </c>
      <c r="K68" s="468" t="e">
        <f>VLOOKUP($G$43,$E$51:$K$55,7)</f>
        <v>#REF!</v>
      </c>
      <c r="L68" s="1164" t="e">
        <f>VLOOKUP(G43,$E$51:$M$55,8)</f>
        <v>#REF!</v>
      </c>
      <c r="M68" s="1164"/>
      <c r="N68" s="469"/>
    </row>
    <row r="69" spans="2:14" ht="14.55" x14ac:dyDescent="0.25">
      <c r="B69" s="1238" t="s">
        <v>350</v>
      </c>
      <c r="C69" s="1238"/>
      <c r="D69" s="1238"/>
      <c r="E69" s="1238"/>
      <c r="F69" s="74"/>
      <c r="G69" s="468" t="e">
        <f>VLOOKUP($G$43,$E$59:$H$63,3)</f>
        <v>#REF!</v>
      </c>
      <c r="H69" s="468" t="e">
        <f>VLOOKUP(G43,$E$59:$H$63,4)</f>
        <v>#REF!</v>
      </c>
      <c r="I69" s="468" t="e">
        <f>VLOOKUP($G$43,$E$59:$J$63,5)</f>
        <v>#REF!</v>
      </c>
      <c r="J69" s="468" t="e">
        <f>VLOOKUP(G43,$E$59:$K$63,6)</f>
        <v>#REF!</v>
      </c>
      <c r="K69" s="468" t="e">
        <f>VLOOKUP($G$43,$E$59:$K$63,7)</f>
        <v>#REF!</v>
      </c>
      <c r="L69" s="1164" t="e">
        <f>VLOOKUP(G43,$E$59:$M$63,8)</f>
        <v>#REF!</v>
      </c>
      <c r="M69" s="1164"/>
      <c r="N69" s="469"/>
    </row>
    <row r="70" spans="2:14" ht="14.55" x14ac:dyDescent="0.25">
      <c r="B70" s="1245" t="s">
        <v>352</v>
      </c>
      <c r="C70" s="1246"/>
      <c r="D70" s="1246"/>
      <c r="E70" s="1247"/>
      <c r="F70" s="74"/>
      <c r="G70" s="529" t="e">
        <f t="shared" ref="G70:L70" si="4">G69-G68</f>
        <v>#REF!</v>
      </c>
      <c r="H70" s="529" t="e">
        <f t="shared" si="4"/>
        <v>#REF!</v>
      </c>
      <c r="I70" s="529" t="e">
        <f t="shared" si="4"/>
        <v>#REF!</v>
      </c>
      <c r="J70" s="529" t="e">
        <f t="shared" si="4"/>
        <v>#REF!</v>
      </c>
      <c r="K70" s="529" t="e">
        <f t="shared" si="4"/>
        <v>#REF!</v>
      </c>
      <c r="L70" s="1189" t="e">
        <f t="shared" si="4"/>
        <v>#REF!</v>
      </c>
      <c r="M70" s="1189"/>
      <c r="N70" s="530"/>
    </row>
    <row r="71" spans="2:14" ht="14.55" x14ac:dyDescent="0.25">
      <c r="B71" s="1238" t="s">
        <v>353</v>
      </c>
      <c r="C71" s="1238"/>
      <c r="D71" s="1238"/>
      <c r="E71" s="1238"/>
      <c r="F71" s="74"/>
      <c r="G71" s="529" t="e">
        <f>G39-H49</f>
        <v>#REF!</v>
      </c>
      <c r="H71" s="472" t="e">
        <f>G43</f>
        <v>#REF!</v>
      </c>
      <c r="I71" s="529" t="e">
        <f>I39-J49</f>
        <v>#REF!</v>
      </c>
      <c r="J71" s="472" t="e">
        <f>G43</f>
        <v>#REF!</v>
      </c>
      <c r="K71" s="529" t="e">
        <f>K39-L49</f>
        <v>#REF!</v>
      </c>
      <c r="L71" s="1190" t="e">
        <f>G43</f>
        <v>#REF!</v>
      </c>
      <c r="M71" s="1190"/>
      <c r="N71" s="531"/>
    </row>
    <row r="74" spans="2:14" x14ac:dyDescent="0.25">
      <c r="B74" s="383" t="s">
        <v>354</v>
      </c>
    </row>
    <row r="76" spans="2:14" ht="14.55" x14ac:dyDescent="0.25">
      <c r="B76" s="74"/>
      <c r="C76" s="74"/>
      <c r="D76" s="465"/>
      <c r="E76" s="74"/>
      <c r="F76" s="465"/>
      <c r="G76" s="463" t="s">
        <v>148</v>
      </c>
      <c r="H76" s="464" t="s">
        <v>342</v>
      </c>
      <c r="I76" s="463" t="s">
        <v>148</v>
      </c>
      <c r="J76" s="464" t="s">
        <v>342</v>
      </c>
      <c r="K76" s="463" t="s">
        <v>148</v>
      </c>
      <c r="L76" s="1188" t="s">
        <v>342</v>
      </c>
      <c r="M76" s="1188"/>
      <c r="N76" s="465"/>
    </row>
    <row r="77" spans="2:14" ht="14.55" x14ac:dyDescent="0.25">
      <c r="B77" s="1238" t="s">
        <v>355</v>
      </c>
      <c r="C77" s="1238"/>
      <c r="D77" s="1238"/>
      <c r="E77" s="1238"/>
      <c r="F77" s="473"/>
      <c r="G77" s="468" t="e">
        <f t="shared" ref="G77:L77" si="5">G68</f>
        <v>#REF!</v>
      </c>
      <c r="H77" s="468" t="e">
        <f t="shared" si="5"/>
        <v>#REF!</v>
      </c>
      <c r="I77" s="468" t="e">
        <f t="shared" si="5"/>
        <v>#REF!</v>
      </c>
      <c r="J77" s="468" t="e">
        <f t="shared" si="5"/>
        <v>#REF!</v>
      </c>
      <c r="K77" s="468" t="e">
        <f t="shared" si="5"/>
        <v>#REF!</v>
      </c>
      <c r="L77" s="1164" t="e">
        <f t="shared" si="5"/>
        <v>#REF!</v>
      </c>
      <c r="M77" s="1164"/>
      <c r="N77" s="469"/>
    </row>
    <row r="78" spans="2:14" ht="14.55" x14ac:dyDescent="0.25">
      <c r="B78" s="1238" t="s">
        <v>356</v>
      </c>
      <c r="C78" s="1238"/>
      <c r="D78" s="1238"/>
      <c r="E78" s="1238"/>
      <c r="F78" s="473"/>
      <c r="G78" s="468" t="e">
        <f>G71</f>
        <v>#REF!</v>
      </c>
      <c r="H78" s="468" t="e">
        <f>G71</f>
        <v>#REF!</v>
      </c>
      <c r="I78" s="468" t="e">
        <f>I71</f>
        <v>#REF!</v>
      </c>
      <c r="J78" s="468" t="e">
        <f>I71</f>
        <v>#REF!</v>
      </c>
      <c r="K78" s="468" t="e">
        <f>K71</f>
        <v>#REF!</v>
      </c>
      <c r="L78" s="1164" t="e">
        <f>K71</f>
        <v>#REF!</v>
      </c>
      <c r="M78" s="1164"/>
      <c r="N78" s="469"/>
    </row>
    <row r="79" spans="2:14" ht="14.55" x14ac:dyDescent="0.25">
      <c r="B79" s="1238" t="s">
        <v>357</v>
      </c>
      <c r="C79" s="1238"/>
      <c r="D79" s="1238"/>
      <c r="E79" s="1238"/>
      <c r="F79" s="473"/>
      <c r="G79" s="468" t="e">
        <f t="shared" ref="G79:L79" si="6">G70</f>
        <v>#REF!</v>
      </c>
      <c r="H79" s="468" t="e">
        <f t="shared" si="6"/>
        <v>#REF!</v>
      </c>
      <c r="I79" s="468" t="e">
        <f t="shared" si="6"/>
        <v>#REF!</v>
      </c>
      <c r="J79" s="468" t="e">
        <f t="shared" si="6"/>
        <v>#REF!</v>
      </c>
      <c r="K79" s="468" t="e">
        <f t="shared" si="6"/>
        <v>#REF!</v>
      </c>
      <c r="L79" s="1164" t="e">
        <f t="shared" si="6"/>
        <v>#REF!</v>
      </c>
      <c r="M79" s="1164"/>
      <c r="N79" s="469"/>
    </row>
    <row r="80" spans="2:14" ht="14.55" x14ac:dyDescent="0.25">
      <c r="B80" s="1238" t="s">
        <v>358</v>
      </c>
      <c r="C80" s="1238"/>
      <c r="D80" s="1238"/>
      <c r="E80" s="1238"/>
      <c r="F80" s="473"/>
      <c r="G80" s="468" t="e">
        <f>H57-H49</f>
        <v>#REF!</v>
      </c>
      <c r="H80" s="468" t="e">
        <f>H57-H49</f>
        <v>#REF!</v>
      </c>
      <c r="I80" s="468" t="e">
        <f>J57-J49</f>
        <v>#REF!</v>
      </c>
      <c r="J80" s="468" t="e">
        <f>J57-J49</f>
        <v>#REF!</v>
      </c>
      <c r="K80" s="468" t="e">
        <f>L57-L49</f>
        <v>#REF!</v>
      </c>
      <c r="L80" s="1164" t="e">
        <f>L57-L49</f>
        <v>#REF!</v>
      </c>
      <c r="M80" s="1164"/>
      <c r="N80" s="469"/>
    </row>
    <row r="81" spans="2:22" ht="15.2" thickBot="1" x14ac:dyDescent="0.3">
      <c r="B81" s="74"/>
      <c r="C81" s="74"/>
      <c r="D81" s="74"/>
      <c r="E81" s="460"/>
      <c r="F81" s="460"/>
      <c r="G81" s="474"/>
      <c r="H81" s="74"/>
    </row>
    <row r="82" spans="2:22" ht="14.55" x14ac:dyDescent="0.25">
      <c r="B82" s="392"/>
      <c r="C82" s="1188"/>
      <c r="D82" s="387" t="s">
        <v>148</v>
      </c>
      <c r="E82" s="393"/>
      <c r="F82" s="469"/>
      <c r="G82" s="74"/>
      <c r="H82" s="476" t="e">
        <f>IF(G80=0,0,G77+((G78*G79)/G80))</f>
        <v>#REF!</v>
      </c>
      <c r="J82" s="476" t="e">
        <f>IF(I80=0,0,I77+((I78*I79)/I80))</f>
        <v>#REF!</v>
      </c>
      <c r="L82" s="1165" t="e">
        <f>IF(K80=0,0,K77+((K78*K79)/K80))</f>
        <v>#REF!</v>
      </c>
      <c r="M82" s="1166"/>
      <c r="N82" s="469"/>
    </row>
    <row r="83" spans="2:22" ht="14.55" x14ac:dyDescent="0.25">
      <c r="B83" s="394" t="s">
        <v>359</v>
      </c>
      <c r="C83" s="1188"/>
      <c r="D83" s="387" t="s">
        <v>339</v>
      </c>
      <c r="E83" s="393"/>
      <c r="F83" s="469"/>
      <c r="G83" s="74"/>
      <c r="H83" s="477" t="e">
        <f>((H86-H82)*0.25)+H82</f>
        <v>#REF!</v>
      </c>
      <c r="J83" s="477" t="e">
        <f>((J86-J82)*0.25)+J82</f>
        <v>#REF!</v>
      </c>
      <c r="L83" s="1167" t="e">
        <f>((L86-L82)*0.25)+L82</f>
        <v>#REF!</v>
      </c>
      <c r="M83" s="1168"/>
      <c r="N83" s="469"/>
    </row>
    <row r="84" spans="2:22" ht="14.55" x14ac:dyDescent="0.25">
      <c r="B84" s="394"/>
      <c r="C84" s="1188"/>
      <c r="D84" s="387" t="s">
        <v>340</v>
      </c>
      <c r="E84" s="393"/>
      <c r="F84" s="469"/>
      <c r="G84" s="74"/>
      <c r="H84" s="477" t="e">
        <f>(H86+H82)/2</f>
        <v>#REF!</v>
      </c>
      <c r="J84" s="477" t="e">
        <f>(J86+J82)/2</f>
        <v>#REF!</v>
      </c>
      <c r="L84" s="1167" t="e">
        <f>(L86+L82)/2</f>
        <v>#REF!</v>
      </c>
      <c r="M84" s="1168"/>
      <c r="N84" s="469"/>
    </row>
    <row r="85" spans="2:22" ht="14.55" x14ac:dyDescent="0.25">
      <c r="B85" s="394" t="s">
        <v>360</v>
      </c>
      <c r="C85" s="1188"/>
      <c r="D85" s="387" t="s">
        <v>341</v>
      </c>
      <c r="E85" s="393"/>
      <c r="F85" s="469"/>
      <c r="G85" s="74"/>
      <c r="H85" s="477" t="e">
        <f>((H86-H82)*0.75)+H82</f>
        <v>#REF!</v>
      </c>
      <c r="J85" s="477" t="e">
        <f>((J86-J82)*0.75)+J82</f>
        <v>#REF!</v>
      </c>
      <c r="L85" s="1167" t="e">
        <f>((L86-L82)*0.75)+L82</f>
        <v>#REF!</v>
      </c>
      <c r="M85" s="1168"/>
      <c r="N85" s="469"/>
    </row>
    <row r="86" spans="2:22" ht="15.2" thickBot="1" x14ac:dyDescent="0.3">
      <c r="B86" s="395"/>
      <c r="C86" s="1188"/>
      <c r="D86" s="387" t="s">
        <v>342</v>
      </c>
      <c r="E86" s="393"/>
      <c r="F86" s="469"/>
      <c r="G86" s="74"/>
      <c r="H86" s="478" t="e">
        <f>IF(H80=0,0,H77+((H78*H79)/H80))</f>
        <v>#REF!</v>
      </c>
      <c r="J86" s="478" t="e">
        <f>IF(J80=0,0,J77+((J78*J79)/J80))</f>
        <v>#REF!</v>
      </c>
      <c r="L86" s="1169" t="e">
        <f>IF(L80=0,0,L77+((L78*L79)/L80))</f>
        <v>#REF!</v>
      </c>
      <c r="M86" s="1170"/>
      <c r="N86" s="469"/>
    </row>
    <row r="88" spans="2:22" ht="15.2" thickBot="1" x14ac:dyDescent="0.35">
      <c r="B88" s="74"/>
      <c r="C88" s="74"/>
      <c r="D88" s="74"/>
      <c r="E88" s="74"/>
      <c r="F88" s="74"/>
      <c r="G88" s="1179" t="s">
        <v>343</v>
      </c>
      <c r="H88" s="1179"/>
      <c r="I88" s="1180" t="s">
        <v>344</v>
      </c>
      <c r="J88" s="1180"/>
      <c r="K88" s="1185" t="s">
        <v>345</v>
      </c>
      <c r="L88" s="1185"/>
      <c r="M88" s="1185"/>
      <c r="N88" s="449"/>
    </row>
    <row r="89" spans="2:22" ht="15.2" thickBot="1" x14ac:dyDescent="0.3">
      <c r="B89" s="1227" t="s">
        <v>361</v>
      </c>
      <c r="C89" s="1228"/>
      <c r="D89" s="1228"/>
      <c r="E89" s="1229"/>
      <c r="F89" s="74"/>
      <c r="G89" s="479" t="e">
        <f>G43</f>
        <v>#REF!</v>
      </c>
      <c r="H89" s="480" t="e">
        <f>IF($G$44="Basishonorarsatz",H82,IF($G$44="Viertelsatz",H83,IF($G$44="Mittelsatz",H84,IF($G$44="Dreiviertelsatz",H85,H86))))</f>
        <v>#REF!</v>
      </c>
      <c r="I89" s="532"/>
      <c r="J89" s="533" t="e">
        <f>IF($G$44="Basishonorarsatz",J82,IF($G$44="Viertelsatz",J83,IF($G$44="Mittelsatz",J84,IF($G$44="Dreiviertelsatz",J85,J86))))</f>
        <v>#REF!</v>
      </c>
      <c r="K89" s="532"/>
      <c r="L89" s="1235" t="e">
        <f>IF($G$44="Basishonorarsatz",L82,IF($G$44="Viertelsatz",L83,IF($G$44="Mittelsatz",L84,IF($G$44="Dreiviertelsatz",L85,L86))))</f>
        <v>#REF!</v>
      </c>
      <c r="M89" s="1236"/>
      <c r="N89" s="534"/>
    </row>
    <row r="90" spans="2:22" ht="14.55" thickBot="1" x14ac:dyDescent="0.3">
      <c r="B90" s="73" t="s">
        <v>125</v>
      </c>
    </row>
    <row r="91" spans="2:22" ht="15" customHeight="1" thickBot="1" x14ac:dyDescent="0.3">
      <c r="B91" s="73" t="s">
        <v>362</v>
      </c>
      <c r="G91" s="487"/>
      <c r="H91" s="1267" t="s">
        <v>363</v>
      </c>
      <c r="I91" s="1268"/>
      <c r="J91" s="1268"/>
      <c r="K91" s="1269"/>
      <c r="L91" s="583"/>
      <c r="M91" s="584"/>
    </row>
    <row r="92" spans="2:22" ht="14.55" thickBot="1" x14ac:dyDescent="0.3">
      <c r="B92" s="73" t="s">
        <v>364</v>
      </c>
      <c r="G92" s="488"/>
      <c r="H92" s="1270" t="s">
        <v>487</v>
      </c>
      <c r="I92" s="1271"/>
      <c r="J92" s="1186" t="s">
        <v>366</v>
      </c>
      <c r="K92" s="1187"/>
      <c r="L92" s="543"/>
      <c r="M92" s="543"/>
      <c r="T92" s="383"/>
      <c r="U92" s="383"/>
      <c r="V92" s="383"/>
    </row>
    <row r="93" spans="2:22" ht="14.55" x14ac:dyDescent="0.3">
      <c r="B93" s="73" t="s">
        <v>369</v>
      </c>
      <c r="G93" s="489">
        <v>1</v>
      </c>
      <c r="H93" s="1272" t="e">
        <f>IF(#REF!="ja",#REF!,0)</f>
        <v>#REF!</v>
      </c>
      <c r="I93" s="1273"/>
      <c r="J93" s="1283" t="e">
        <f>IF(#REF!="ja",#REF!,0)</f>
        <v>#REF!</v>
      </c>
      <c r="K93" s="1284"/>
      <c r="L93" s="543" t="e">
        <f>H93+J93</f>
        <v>#REF!</v>
      </c>
      <c r="M93" s="543"/>
      <c r="T93" s="384"/>
      <c r="U93" s="384"/>
      <c r="V93" s="384"/>
    </row>
    <row r="94" spans="2:22" ht="14.55" x14ac:dyDescent="0.3">
      <c r="G94" s="491">
        <v>2</v>
      </c>
      <c r="H94" s="1158" t="e">
        <f>IF(#REF!="ja",#REF!,0)</f>
        <v>#REF!</v>
      </c>
      <c r="I94" s="1159"/>
      <c r="J94" s="1160" t="e">
        <f>IF(#REF!="ja",#REF!,0)</f>
        <v>#REF!</v>
      </c>
      <c r="K94" s="1161"/>
      <c r="L94" s="543" t="e">
        <f t="shared" ref="L94:L99" si="7">H94+J94</f>
        <v>#REF!</v>
      </c>
      <c r="M94" s="543"/>
      <c r="T94" s="385"/>
      <c r="U94" s="274"/>
      <c r="V94" s="385"/>
    </row>
    <row r="95" spans="2:22" ht="14.55" x14ac:dyDescent="0.3">
      <c r="B95" s="73" t="s">
        <v>125</v>
      </c>
      <c r="G95" s="491">
        <v>3</v>
      </c>
      <c r="H95" s="1158" t="e">
        <f>IF(#REF!="ja",#REF!,0)</f>
        <v>#REF!</v>
      </c>
      <c r="I95" s="1159"/>
      <c r="J95" s="1160" t="e">
        <f>IF(#REF!="ja",#REF!,0)</f>
        <v>#REF!</v>
      </c>
      <c r="K95" s="1161"/>
      <c r="L95" s="543" t="e">
        <f t="shared" si="7"/>
        <v>#REF!</v>
      </c>
      <c r="M95" s="543"/>
      <c r="T95" s="273"/>
      <c r="U95" s="274"/>
      <c r="V95" s="275"/>
    </row>
    <row r="96" spans="2:22" ht="14.55" x14ac:dyDescent="0.3">
      <c r="B96" s="73" t="s">
        <v>370</v>
      </c>
      <c r="G96" s="491">
        <v>4</v>
      </c>
      <c r="H96" s="1158" t="e">
        <f>IF(#REF!="ja",#REF!,0)</f>
        <v>#REF!</v>
      </c>
      <c r="I96" s="1159"/>
      <c r="J96" s="1160" t="e">
        <f>IF(#REF!="ja",#REF!,0)</f>
        <v>#REF!</v>
      </c>
      <c r="K96" s="1161"/>
      <c r="L96" s="543" t="e">
        <f t="shared" si="7"/>
        <v>#REF!</v>
      </c>
      <c r="M96" s="543"/>
      <c r="T96" s="273"/>
      <c r="U96" s="274"/>
      <c r="V96" s="275"/>
    </row>
    <row r="97" spans="2:22" ht="14.55" x14ac:dyDescent="0.3">
      <c r="G97" s="491" t="s">
        <v>371</v>
      </c>
      <c r="H97" s="1158" t="e">
        <f>IF(#REF!="ja",#REF!,0)</f>
        <v>#REF!</v>
      </c>
      <c r="I97" s="1159"/>
      <c r="J97" s="1160" t="e">
        <f>IF(#REF!="ja",#REF!,0)</f>
        <v>#REF!</v>
      </c>
      <c r="K97" s="1161"/>
      <c r="L97" s="543" t="e">
        <f t="shared" si="7"/>
        <v>#REF!</v>
      </c>
      <c r="M97" s="543"/>
      <c r="T97" s="273"/>
      <c r="U97" s="274"/>
      <c r="V97" s="275"/>
    </row>
    <row r="98" spans="2:22" ht="14.55" x14ac:dyDescent="0.3">
      <c r="G98" s="491" t="s">
        <v>372</v>
      </c>
      <c r="H98" s="1158" t="e">
        <f>IF(#REF!="ja",#REF!,0)</f>
        <v>#REF!</v>
      </c>
      <c r="I98" s="1159"/>
      <c r="J98" s="1160" t="e">
        <f>IF(#REF!="ja",#REF!,0)</f>
        <v>#REF!</v>
      </c>
      <c r="K98" s="1161"/>
      <c r="L98" s="543" t="e">
        <f t="shared" si="7"/>
        <v>#REF!</v>
      </c>
      <c r="M98" s="543"/>
      <c r="T98" s="273"/>
      <c r="U98" s="274"/>
      <c r="V98" s="275"/>
    </row>
    <row r="99" spans="2:22" ht="14.55" x14ac:dyDescent="0.3">
      <c r="G99" s="492">
        <v>6</v>
      </c>
      <c r="H99" s="1158" t="e">
        <f>IF(#REF!="ja",#REF!,0)</f>
        <v>#REF!</v>
      </c>
      <c r="I99" s="1159"/>
      <c r="J99" s="1160" t="e">
        <f>IF(#REF!="ja",#REF!,0)</f>
        <v>#REF!</v>
      </c>
      <c r="K99" s="1161"/>
      <c r="L99" s="543" t="e">
        <f t="shared" si="7"/>
        <v>#REF!</v>
      </c>
      <c r="M99" s="543"/>
      <c r="T99" s="273"/>
      <c r="U99" s="274"/>
      <c r="V99" s="275"/>
    </row>
    <row r="100" spans="2:22" ht="15.2" thickBot="1" x14ac:dyDescent="0.35">
      <c r="G100" s="585">
        <v>7</v>
      </c>
      <c r="H100" s="1158" t="e">
        <f>IF(#REF!="ja",#REF!,0)</f>
        <v>#REF!</v>
      </c>
      <c r="I100" s="1159"/>
      <c r="J100" s="1160" t="e">
        <f>IF(#REF!="ja",#REF!,0)</f>
        <v>#REF!</v>
      </c>
      <c r="K100" s="1161"/>
      <c r="L100" s="543"/>
      <c r="M100" s="543"/>
      <c r="T100" s="273"/>
      <c r="U100" s="274"/>
      <c r="V100" s="275"/>
    </row>
    <row r="101" spans="2:22" ht="15.2" thickBot="1" x14ac:dyDescent="0.35">
      <c r="G101" s="494" t="s">
        <v>377</v>
      </c>
      <c r="H101" s="1216" t="e">
        <f>SUM(H93:I100)</f>
        <v>#REF!</v>
      </c>
      <c r="I101" s="1217"/>
      <c r="J101" s="1220" t="e">
        <f>SUM(J93:K100)</f>
        <v>#REF!</v>
      </c>
      <c r="K101" s="1221"/>
      <c r="L101" s="564"/>
      <c r="M101" s="564"/>
      <c r="T101" s="273"/>
      <c r="U101" s="274"/>
      <c r="V101" s="275"/>
    </row>
    <row r="102" spans="2:22" ht="14.25" customHeight="1" thickBot="1" x14ac:dyDescent="0.35">
      <c r="G102" s="494" t="s">
        <v>488</v>
      </c>
      <c r="H102" s="1214" t="e">
        <f>H101*#REF!+H101</f>
        <v>#REF!</v>
      </c>
      <c r="I102" s="1215"/>
      <c r="J102" s="542"/>
      <c r="T102" s="273"/>
      <c r="U102" s="274"/>
      <c r="V102" s="275"/>
    </row>
    <row r="103" spans="2:22" ht="14.55" x14ac:dyDescent="0.3">
      <c r="K103" s="543"/>
      <c r="T103" s="273"/>
      <c r="U103" s="274"/>
      <c r="V103" s="275"/>
    </row>
    <row r="104" spans="2:22" ht="15.2" thickBot="1" x14ac:dyDescent="0.35">
      <c r="T104" s="273"/>
      <c r="U104" s="274"/>
      <c r="V104" s="275"/>
    </row>
    <row r="105" spans="2:22" ht="15.2" thickBot="1" x14ac:dyDescent="0.35">
      <c r="B105" s="497" t="s">
        <v>115</v>
      </c>
      <c r="C105" s="498" t="s">
        <v>306</v>
      </c>
      <c r="D105" s="499" t="s">
        <v>307</v>
      </c>
      <c r="E105" s="499" t="s">
        <v>308</v>
      </c>
      <c r="F105" s="499" t="s">
        <v>309</v>
      </c>
      <c r="G105" s="499" t="s">
        <v>310</v>
      </c>
      <c r="H105" s="499" t="s">
        <v>311</v>
      </c>
      <c r="I105" s="499"/>
      <c r="J105" s="499"/>
      <c r="K105" s="499"/>
      <c r="L105" s="499"/>
      <c r="M105" s="499" t="s">
        <v>316</v>
      </c>
      <c r="N105" s="499" t="s">
        <v>317</v>
      </c>
      <c r="O105" s="499"/>
      <c r="P105" s="499"/>
      <c r="Q105" s="586" t="s">
        <v>380</v>
      </c>
      <c r="T105" s="273"/>
      <c r="U105" s="274"/>
      <c r="V105" s="275"/>
    </row>
    <row r="106" spans="2:22" ht="14.55" x14ac:dyDescent="0.3">
      <c r="B106" s="501">
        <f>IF(Überblick!$H$53&gt;=1,1,"")</f>
        <v>1</v>
      </c>
      <c r="C106" s="587" t="e">
        <f>IF($B106=#REF!,#REF!*#REF!+#REF!+#REF!+#REF!+#REF!+#REF!,0)</f>
        <v>#REF!</v>
      </c>
      <c r="D106" s="547" t="e">
        <f>IF($B106=#REF!,#REF!*#REF!+#REF!+#REF!,0)</f>
        <v>#REF!</v>
      </c>
      <c r="E106" s="547" t="e">
        <f>IF($B106=#REF!,#REF!*#REF!+#REF!+#REF!,0)</f>
        <v>#REF!</v>
      </c>
      <c r="F106" s="547" t="e">
        <f>IF($B106=#REF!,#REF!*#REF!+#REF!+#REF!,0)</f>
        <v>#REF!</v>
      </c>
      <c r="G106" s="547" t="e">
        <f>IF($B106=#REF!,#REF!*#REF!+#REF!+#REF!+#REF!+#REF!,0)</f>
        <v>#REF!</v>
      </c>
      <c r="H106" s="547" t="e">
        <f>IF($B106=#REF!,#REF!*#REF!+#REF!+#REF!,0)</f>
        <v>#REF!</v>
      </c>
      <c r="I106" s="547"/>
      <c r="J106" s="547"/>
      <c r="K106" s="547"/>
      <c r="L106" s="547"/>
      <c r="M106" s="547" t="e">
        <f>IF($B106=#REF!,#REF!*#REF!+#REF!+#REF!,0)</f>
        <v>#REF!</v>
      </c>
      <c r="N106" s="547" t="e">
        <f>IF($B106=#REF!,#REF!*#REF!+#REF!+#REF!,0)</f>
        <v>#REF!</v>
      </c>
      <c r="O106" s="547"/>
      <c r="P106" s="547"/>
      <c r="Q106" s="588" t="e">
        <f>SUM(C106:P106)</f>
        <v>#REF!</v>
      </c>
      <c r="T106" s="273"/>
      <c r="U106" s="274"/>
      <c r="V106" s="275"/>
    </row>
    <row r="107" spans="2:22" ht="14.55" x14ac:dyDescent="0.3">
      <c r="B107" s="505">
        <f>IF(Überblick!$H$53&gt;=2,2,"")</f>
        <v>2</v>
      </c>
      <c r="C107" s="589" t="e">
        <f>IF($B107=#REF!,#REF!*#REF!+#REF!+#REF!+#REF!,0)</f>
        <v>#REF!</v>
      </c>
      <c r="D107" s="551" t="e">
        <f>IF($B107=#REF!,#REF!*#REF!+#REF!+#REF!,0)</f>
        <v>#REF!</v>
      </c>
      <c r="E107" s="551" t="e">
        <f>IF($B107=#REF!,#REF!*#REF!+#REF!+#REF!,0)</f>
        <v>#REF!</v>
      </c>
      <c r="F107" s="551" t="e">
        <f>IF($B107=#REF!,#REF!*#REF!+#REF!+#REF!,0)</f>
        <v>#REF!</v>
      </c>
      <c r="G107" s="551" t="e">
        <f>IF($B107=#REF!,#REF!*#REF!+#REF!+#REF!+#REF!+#REF!,0)</f>
        <v>#REF!</v>
      </c>
      <c r="H107" s="551" t="e">
        <f>IF($B107=#REF!,#REF!*#REF!+#REF!+#REF!,0)</f>
        <v>#REF!</v>
      </c>
      <c r="I107" s="551"/>
      <c r="J107" s="551"/>
      <c r="K107" s="551"/>
      <c r="L107" s="551"/>
      <c r="M107" s="551" t="e">
        <f>IF($B107=#REF!,#REF!*#REF!+#REF!+#REF!,0)</f>
        <v>#REF!</v>
      </c>
      <c r="N107" s="551" t="e">
        <f>IF($B107=#REF!,#REF!*#REF!+#REF!+#REF!,0)</f>
        <v>#REF!</v>
      </c>
      <c r="O107" s="551"/>
      <c r="P107" s="551"/>
      <c r="Q107" s="590" t="e">
        <f t="shared" ref="Q107:Q113" si="8">SUM(C107:P107)</f>
        <v>#REF!</v>
      </c>
      <c r="T107" s="273"/>
      <c r="U107" s="274"/>
      <c r="V107" s="275"/>
    </row>
    <row r="108" spans="2:22" ht="14.55" x14ac:dyDescent="0.3">
      <c r="B108" s="505">
        <f>IF(Überblick!$H$53&gt;=3,3,"")</f>
        <v>3</v>
      </c>
      <c r="C108" s="589" t="e">
        <f>IF($B108=#REF!,#REF!*#REF!+#REF!+#REF!+#REF!,0)</f>
        <v>#REF!</v>
      </c>
      <c r="D108" s="551" t="e">
        <f>IF($B108=#REF!,#REF!*#REF!+#REF!+#REF!,0)</f>
        <v>#REF!</v>
      </c>
      <c r="E108" s="551" t="e">
        <f>IF($B108=#REF!,#REF!*#REF!+#REF!+#REF!,0)</f>
        <v>#REF!</v>
      </c>
      <c r="F108" s="551" t="e">
        <f>IF($B108=#REF!,#REF!*#REF!+#REF!+#REF!,0)</f>
        <v>#REF!</v>
      </c>
      <c r="G108" s="551" t="e">
        <f>IF($B108=#REF!,#REF!*#REF!+#REF!+#REF!+#REF!+#REF!,0)</f>
        <v>#REF!</v>
      </c>
      <c r="H108" s="551" t="e">
        <f>IF($B108=#REF!,#REF!*#REF!+#REF!+#REF!,0)</f>
        <v>#REF!</v>
      </c>
      <c r="I108" s="551"/>
      <c r="J108" s="551"/>
      <c r="K108" s="551"/>
      <c r="L108" s="551"/>
      <c r="M108" s="551" t="e">
        <f>IF($B108=#REF!,#REF!*#REF!+#REF!+#REF!,0)</f>
        <v>#REF!</v>
      </c>
      <c r="N108" s="551" t="e">
        <f>IF($B108=#REF!,#REF!*#REF!+#REF!+#REF!,0)</f>
        <v>#REF!</v>
      </c>
      <c r="O108" s="551"/>
      <c r="P108" s="551"/>
      <c r="Q108" s="590" t="e">
        <f t="shared" si="8"/>
        <v>#REF!</v>
      </c>
      <c r="T108" s="273"/>
      <c r="U108" s="274"/>
      <c r="V108" s="275"/>
    </row>
    <row r="109" spans="2:22" ht="14.55" x14ac:dyDescent="0.3">
      <c r="B109" s="505" t="str">
        <f>IF(Überblick!$H$53&gt;=4,4,"")</f>
        <v/>
      </c>
      <c r="C109" s="589" t="e">
        <f>IF($B109=#REF!,#REF!*#REF!+#REF!+#REF!+#REF!,0)</f>
        <v>#REF!</v>
      </c>
      <c r="D109" s="551" t="e">
        <f>IF($B109=#REF!,#REF!*#REF!+#REF!+#REF!,0)</f>
        <v>#REF!</v>
      </c>
      <c r="E109" s="551" t="e">
        <f>IF($B109=#REF!,#REF!*#REF!+#REF!+#REF!,0)</f>
        <v>#REF!</v>
      </c>
      <c r="F109" s="551" t="e">
        <f>IF($B109=#REF!,#REF!*#REF!+#REF!+#REF!,0)</f>
        <v>#REF!</v>
      </c>
      <c r="G109" s="551" t="e">
        <f>IF($B109=#REF!,#REF!*#REF!+#REF!+#REF!+#REF!+#REF!,0)</f>
        <v>#REF!</v>
      </c>
      <c r="H109" s="551" t="e">
        <f>IF($B109=#REF!,#REF!*#REF!+#REF!+#REF!,0)</f>
        <v>#REF!</v>
      </c>
      <c r="I109" s="551"/>
      <c r="J109" s="551"/>
      <c r="K109" s="551"/>
      <c r="L109" s="551"/>
      <c r="M109" s="551" t="e">
        <f>IF($B109=#REF!,#REF!*#REF!+#REF!+#REF!,0)</f>
        <v>#REF!</v>
      </c>
      <c r="N109" s="551" t="e">
        <f>IF($B109=#REF!,#REF!*#REF!+#REF!+#REF!,0)</f>
        <v>#REF!</v>
      </c>
      <c r="O109" s="551"/>
      <c r="P109" s="551"/>
      <c r="Q109" s="590" t="e">
        <f>SUM(C109:P109)</f>
        <v>#REF!</v>
      </c>
      <c r="T109" s="273"/>
      <c r="U109" s="274"/>
      <c r="V109" s="275"/>
    </row>
    <row r="110" spans="2:22" ht="14.55" x14ac:dyDescent="0.3">
      <c r="B110" s="505" t="str">
        <f>IF(Überblick!$H$53&gt;=5,5,"")</f>
        <v/>
      </c>
      <c r="C110" s="589" t="e">
        <f>IF($B110=#REF!,#REF!*#REF!+#REF!+#REF!+#REF!,0)</f>
        <v>#REF!</v>
      </c>
      <c r="D110" s="551" t="e">
        <f>IF($B110=#REF!,#REF!*#REF!+#REF!+#REF!,0)</f>
        <v>#REF!</v>
      </c>
      <c r="E110" s="551" t="e">
        <f>IF($B110=#REF!,#REF!*#REF!+#REF!+#REF!,0)</f>
        <v>#REF!</v>
      </c>
      <c r="F110" s="551" t="e">
        <f>IF($B110=#REF!,#REF!*#REF!+#REF!+#REF!,0)</f>
        <v>#REF!</v>
      </c>
      <c r="G110" s="551" t="e">
        <f>IF($B110=#REF!,#REF!*#REF!+#REF!+#REF!+#REF!+#REF!,0)</f>
        <v>#REF!</v>
      </c>
      <c r="H110" s="551" t="e">
        <f>IF($B110=#REF!,#REF!*#REF!+#REF!+#REF!,0)</f>
        <v>#REF!</v>
      </c>
      <c r="I110" s="551"/>
      <c r="J110" s="551"/>
      <c r="K110" s="551"/>
      <c r="L110" s="551"/>
      <c r="M110" s="551" t="e">
        <f>IF($B110=#REF!,#REF!*#REF!+#REF!+#REF!,0)</f>
        <v>#REF!</v>
      </c>
      <c r="N110" s="551" t="e">
        <f>IF($B110=#REF!,#REF!*#REF!+#REF!+#REF!,0)</f>
        <v>#REF!</v>
      </c>
      <c r="O110" s="551"/>
      <c r="P110" s="551"/>
      <c r="Q110" s="590" t="e">
        <f t="shared" si="8"/>
        <v>#REF!</v>
      </c>
      <c r="T110" s="273"/>
      <c r="U110" s="274"/>
      <c r="V110" s="275"/>
    </row>
    <row r="111" spans="2:22" ht="14.55" x14ac:dyDescent="0.3">
      <c r="B111" s="505" t="str">
        <f>IF(Überblick!$H$53&gt;=6,6,"")</f>
        <v/>
      </c>
      <c r="C111" s="589" t="e">
        <f>IF($B111=#REF!,#REF!*#REF!+#REF!+#REF!+#REF!,0)</f>
        <v>#REF!</v>
      </c>
      <c r="D111" s="551" t="e">
        <f>IF($B111=#REF!,#REF!*#REF!+#REF!+#REF!,0)</f>
        <v>#REF!</v>
      </c>
      <c r="E111" s="551" t="e">
        <f>IF($B111=#REF!,#REF!*#REF!+#REF!+#REF!,0)</f>
        <v>#REF!</v>
      </c>
      <c r="F111" s="551" t="e">
        <f>IF($B111=#REF!,#REF!*#REF!+#REF!+#REF!,0)</f>
        <v>#REF!</v>
      </c>
      <c r="G111" s="551" t="e">
        <f>IF($B111=#REF!,#REF!*#REF!+#REF!+#REF!+#REF!+#REF!,0)</f>
        <v>#REF!</v>
      </c>
      <c r="H111" s="551" t="e">
        <f>IF($B111=#REF!,#REF!*#REF!+#REF!+#REF!,0)</f>
        <v>#REF!</v>
      </c>
      <c r="I111" s="551"/>
      <c r="J111" s="551"/>
      <c r="K111" s="551"/>
      <c r="L111" s="551"/>
      <c r="M111" s="551" t="e">
        <f>IF($B111=#REF!,#REF!*#REF!+#REF!+#REF!,0)</f>
        <v>#REF!</v>
      </c>
      <c r="N111" s="551" t="e">
        <f>IF($B111=#REF!,#REF!*#REF!+#REF!+#REF!,0)</f>
        <v>#REF!</v>
      </c>
      <c r="O111" s="551"/>
      <c r="P111" s="551"/>
      <c r="Q111" s="590" t="e">
        <f t="shared" si="8"/>
        <v>#REF!</v>
      </c>
      <c r="T111" s="273"/>
      <c r="U111" s="274"/>
      <c r="V111" s="275"/>
    </row>
    <row r="112" spans="2:22" ht="14.55" x14ac:dyDescent="0.3">
      <c r="B112" s="505" t="str">
        <f>IF(Überblick!$H$53&gt;=7,7,"")</f>
        <v/>
      </c>
      <c r="C112" s="589" t="e">
        <f>IF($B112=#REF!,#REF!*#REF!+#REF!+#REF!+#REF!,0)</f>
        <v>#REF!</v>
      </c>
      <c r="D112" s="551" t="e">
        <f>IF($B112=#REF!,#REF!*#REF!+#REF!+#REF!,0)</f>
        <v>#REF!</v>
      </c>
      <c r="E112" s="551" t="e">
        <f>IF($B112=#REF!,#REF!*#REF!+#REF!+#REF!,0)</f>
        <v>#REF!</v>
      </c>
      <c r="F112" s="551" t="e">
        <f>IF($B112=#REF!,#REF!*#REF!+#REF!+#REF!,0)</f>
        <v>#REF!</v>
      </c>
      <c r="G112" s="551" t="e">
        <f>IF($B112=#REF!,#REF!*#REF!+#REF!+#REF!+#REF!+#REF!,0)</f>
        <v>#REF!</v>
      </c>
      <c r="H112" s="551" t="e">
        <f>IF($B112=#REF!,#REF!*#REF!+#REF!+#REF!,0)</f>
        <v>#REF!</v>
      </c>
      <c r="I112" s="551"/>
      <c r="J112" s="551"/>
      <c r="K112" s="551"/>
      <c r="L112" s="551"/>
      <c r="M112" s="551" t="e">
        <f>IF($B112=#REF!,#REF!*#REF!+#REF!+#REF!,0)</f>
        <v>#REF!</v>
      </c>
      <c r="N112" s="551" t="e">
        <f>IF($B112=#REF!,#REF!*#REF!+#REF!+#REF!,0)</f>
        <v>#REF!</v>
      </c>
      <c r="O112" s="551"/>
      <c r="P112" s="551"/>
      <c r="Q112" s="590" t="e">
        <f t="shared" si="8"/>
        <v>#REF!</v>
      </c>
      <c r="T112" s="273"/>
      <c r="U112" s="274"/>
      <c r="V112" s="275"/>
    </row>
    <row r="113" spans="2:22" ht="14.55" x14ac:dyDescent="0.3">
      <c r="B113" s="505" t="str">
        <f>IF(Überblick!$H$53&gt;=8,8,"")</f>
        <v/>
      </c>
      <c r="C113" s="589" t="e">
        <f>IF($B113=#REF!,#REF!*#REF!+#REF!+#REF!+#REF!,0)</f>
        <v>#REF!</v>
      </c>
      <c r="D113" s="551" t="e">
        <f>IF($B113=#REF!,#REF!*#REF!+#REF!+#REF!,0)</f>
        <v>#REF!</v>
      </c>
      <c r="E113" s="551" t="e">
        <f>IF($B113=#REF!,#REF!*#REF!+#REF!+#REF!,0)</f>
        <v>#REF!</v>
      </c>
      <c r="F113" s="551" t="e">
        <f>IF($B113=#REF!,#REF!*#REF!+#REF!+#REF!,0)</f>
        <v>#REF!</v>
      </c>
      <c r="G113" s="551" t="e">
        <f>IF($B113=#REF!,#REF!*#REF!+#REF!+#REF!+#REF!+#REF!,0)</f>
        <v>#REF!</v>
      </c>
      <c r="H113" s="551" t="e">
        <f>IF($B113=#REF!,#REF!*#REF!+#REF!+#REF!,0)</f>
        <v>#REF!</v>
      </c>
      <c r="I113" s="551"/>
      <c r="J113" s="551"/>
      <c r="K113" s="551"/>
      <c r="L113" s="551"/>
      <c r="M113" s="551" t="e">
        <f>IF($B113=#REF!,#REF!*#REF!+#REF!+#REF!,0)</f>
        <v>#REF!</v>
      </c>
      <c r="N113" s="551" t="e">
        <f>IF($B113=#REF!,#REF!*#REF!+#REF!+#REF!,0)</f>
        <v>#REF!</v>
      </c>
      <c r="O113" s="551"/>
      <c r="P113" s="551"/>
      <c r="Q113" s="590" t="e">
        <f t="shared" si="8"/>
        <v>#REF!</v>
      </c>
      <c r="T113" s="273"/>
      <c r="U113" s="274"/>
      <c r="V113" s="275"/>
    </row>
    <row r="114" spans="2:22" ht="15.2" thickBot="1" x14ac:dyDescent="0.35">
      <c r="B114" s="509" t="str">
        <f>IF(Überblick!$H$53&gt;=9,9,"")</f>
        <v/>
      </c>
      <c r="C114" s="591" t="e">
        <f>IF($B114=#REF!,#REF!*#REF!+#REF!+#REF!+#REF!,0)</f>
        <v>#REF!</v>
      </c>
      <c r="D114" s="556" t="e">
        <f>IF($B114=#REF!,#REF!*#REF!+#REF!+#REF!,0)</f>
        <v>#REF!</v>
      </c>
      <c r="E114" s="556" t="e">
        <f>IF($B114=#REF!,#REF!*#REF!+#REF!+#REF!,0)</f>
        <v>#REF!</v>
      </c>
      <c r="F114" s="556" t="e">
        <f>IF($B114=#REF!,#REF!*#REF!+#REF!+#REF!,0)</f>
        <v>#REF!</v>
      </c>
      <c r="G114" s="556" t="e">
        <f>IF($B114=#REF!,#REF!*#REF!+#REF!+#REF!+#REF!+#REF!,0)</f>
        <v>#REF!</v>
      </c>
      <c r="H114" s="556" t="e">
        <f>IF($B114=#REF!,#REF!*#REF!+#REF!+#REF!,0)</f>
        <v>#REF!</v>
      </c>
      <c r="I114" s="556"/>
      <c r="J114" s="556"/>
      <c r="K114" s="556"/>
      <c r="L114" s="556"/>
      <c r="M114" s="556" t="e">
        <f>IF($B114=#REF!,#REF!*#REF!+#REF!+#REF!,0)</f>
        <v>#REF!</v>
      </c>
      <c r="N114" s="556" t="e">
        <f>IF($B114=#REF!,#REF!*#REF!+#REF!+#REF!,0)</f>
        <v>#REF!</v>
      </c>
      <c r="O114" s="556"/>
      <c r="P114" s="556"/>
      <c r="Q114" s="592" t="e">
        <f t="shared" ref="Q114" si="9">SUM(C114:P114)</f>
        <v>#REF!</v>
      </c>
      <c r="T114" s="273"/>
      <c r="U114" s="274"/>
      <c r="V114" s="275"/>
    </row>
    <row r="115" spans="2:22" ht="15.2" thickBot="1" x14ac:dyDescent="0.35">
      <c r="Q115" s="593" t="e">
        <f>SUM(Q106:Q114)</f>
        <v>#REF!</v>
      </c>
      <c r="T115" s="273"/>
      <c r="U115" s="274"/>
      <c r="V115" s="275"/>
    </row>
    <row r="116" spans="2:22" ht="14.55" x14ac:dyDescent="0.3">
      <c r="T116" s="273"/>
      <c r="U116" s="274"/>
      <c r="V116" s="275"/>
    </row>
    <row r="117" spans="2:22" ht="14.55" x14ac:dyDescent="0.3">
      <c r="T117" s="273"/>
      <c r="U117" s="274"/>
      <c r="V117" s="275"/>
    </row>
    <row r="118" spans="2:22" ht="14.55" x14ac:dyDescent="0.3">
      <c r="T118" s="273"/>
      <c r="U118" s="274"/>
      <c r="V118" s="275"/>
    </row>
    <row r="119" spans="2:22" ht="14.55" x14ac:dyDescent="0.3">
      <c r="T119" s="273"/>
      <c r="U119" s="274"/>
      <c r="V119" s="275"/>
    </row>
    <row r="120" spans="2:22" ht="14.55" x14ac:dyDescent="0.3">
      <c r="T120" s="273"/>
      <c r="U120" s="274"/>
      <c r="V120" s="275"/>
    </row>
    <row r="121" spans="2:22" ht="14.55" x14ac:dyDescent="0.3">
      <c r="T121" s="273"/>
      <c r="U121" s="274"/>
      <c r="V121" s="275"/>
    </row>
    <row r="122" spans="2:22" ht="14.55" x14ac:dyDescent="0.3">
      <c r="T122" s="273"/>
      <c r="U122" s="274"/>
      <c r="V122" s="275"/>
    </row>
    <row r="123" spans="2:22" ht="14.55" x14ac:dyDescent="0.3">
      <c r="T123" s="273"/>
      <c r="U123" s="274"/>
      <c r="V123" s="275"/>
    </row>
    <row r="124" spans="2:22" ht="14.55" x14ac:dyDescent="0.3">
      <c r="T124" s="273"/>
      <c r="U124" s="274"/>
      <c r="V124" s="275"/>
    </row>
    <row r="125" spans="2:22" ht="14.55" x14ac:dyDescent="0.3">
      <c r="T125" s="273"/>
      <c r="U125" s="274"/>
      <c r="V125" s="275"/>
    </row>
    <row r="126" spans="2:22" ht="14.55" x14ac:dyDescent="0.3">
      <c r="T126" s="273"/>
      <c r="U126" s="274"/>
      <c r="V126" s="275"/>
    </row>
    <row r="127" spans="2:22" ht="14.55" x14ac:dyDescent="0.3">
      <c r="T127" s="273"/>
      <c r="U127" s="274"/>
      <c r="V127" s="275"/>
    </row>
    <row r="128" spans="2:22" ht="14.55" x14ac:dyDescent="0.3">
      <c r="T128" s="273"/>
      <c r="U128" s="274"/>
      <c r="V128" s="275"/>
    </row>
    <row r="129" spans="20:22" ht="14.55" x14ac:dyDescent="0.3">
      <c r="T129" s="273"/>
      <c r="U129" s="274"/>
      <c r="V129" s="275"/>
    </row>
    <row r="130" spans="20:22" ht="14.55" x14ac:dyDescent="0.3">
      <c r="T130" s="273"/>
      <c r="U130" s="274"/>
      <c r="V130" s="275"/>
    </row>
    <row r="131" spans="20:22" ht="14.55" x14ac:dyDescent="0.3">
      <c r="T131" s="273"/>
      <c r="U131" s="274"/>
      <c r="V131" s="275"/>
    </row>
    <row r="132" spans="20:22" ht="14.55" x14ac:dyDescent="0.3">
      <c r="T132" s="273"/>
      <c r="U132" s="274"/>
      <c r="V132" s="275"/>
    </row>
    <row r="133" spans="20:22" ht="14.55" x14ac:dyDescent="0.3">
      <c r="T133" s="273"/>
      <c r="U133" s="274"/>
      <c r="V133" s="275"/>
    </row>
    <row r="134" spans="20:22" ht="14.55" x14ac:dyDescent="0.3">
      <c r="T134" s="273"/>
      <c r="U134" s="274"/>
      <c r="V134" s="275"/>
    </row>
    <row r="135" spans="20:22" ht="14.55" x14ac:dyDescent="0.3">
      <c r="T135" s="273"/>
      <c r="U135" s="274"/>
      <c r="V135" s="275"/>
    </row>
    <row r="136" spans="20:22" ht="14.55" x14ac:dyDescent="0.3">
      <c r="T136" s="273"/>
      <c r="U136" s="274"/>
      <c r="V136" s="275"/>
    </row>
    <row r="137" spans="20:22" ht="14.55" x14ac:dyDescent="0.3">
      <c r="T137" s="273"/>
      <c r="U137" s="274"/>
      <c r="V137" s="275"/>
    </row>
    <row r="138" spans="20:22" ht="14.55" x14ac:dyDescent="0.3">
      <c r="T138" s="273"/>
      <c r="U138" s="274"/>
      <c r="V138" s="275"/>
    </row>
    <row r="139" spans="20:22" ht="14.55" x14ac:dyDescent="0.3">
      <c r="T139" s="273"/>
      <c r="U139" s="274"/>
      <c r="V139" s="275"/>
    </row>
    <row r="140" spans="20:22" ht="14.55" x14ac:dyDescent="0.3">
      <c r="T140" s="273"/>
      <c r="U140" s="274"/>
      <c r="V140" s="275"/>
    </row>
    <row r="141" spans="20:22" ht="14.55" x14ac:dyDescent="0.3">
      <c r="T141" s="273"/>
      <c r="U141" s="274"/>
      <c r="V141" s="275"/>
    </row>
    <row r="142" spans="20:22" ht="14.55" x14ac:dyDescent="0.3">
      <c r="T142" s="273"/>
      <c r="U142" s="274"/>
      <c r="V142" s="275"/>
    </row>
    <row r="143" spans="20:22" ht="14.55" x14ac:dyDescent="0.3">
      <c r="T143" s="273"/>
      <c r="U143" s="274"/>
      <c r="V143" s="275"/>
    </row>
    <row r="144" spans="20:22" ht="14.55" x14ac:dyDescent="0.3">
      <c r="T144" s="273"/>
      <c r="U144" s="274"/>
      <c r="V144" s="275"/>
    </row>
    <row r="145" spans="20:22" ht="14.55" x14ac:dyDescent="0.3">
      <c r="T145" s="273"/>
      <c r="U145" s="274"/>
      <c r="V145" s="275"/>
    </row>
    <row r="146" spans="20:22" ht="14.55" x14ac:dyDescent="0.3">
      <c r="T146" s="273"/>
      <c r="U146" s="274"/>
      <c r="V146" s="275"/>
    </row>
    <row r="147" spans="20:22" ht="14.55" x14ac:dyDescent="0.3">
      <c r="T147" s="273"/>
      <c r="U147" s="274"/>
      <c r="V147" s="275"/>
    </row>
    <row r="148" spans="20:22" ht="14.55" x14ac:dyDescent="0.3">
      <c r="T148" s="273"/>
      <c r="U148" s="274"/>
      <c r="V148" s="275"/>
    </row>
    <row r="149" spans="20:22" ht="14.55" x14ac:dyDescent="0.3">
      <c r="T149" s="273"/>
      <c r="U149" s="274"/>
      <c r="V149" s="275"/>
    </row>
    <row r="150" spans="20:22" ht="14.55" x14ac:dyDescent="0.3">
      <c r="T150" s="273"/>
      <c r="U150" s="274"/>
      <c r="V150" s="275"/>
    </row>
    <row r="151" spans="20:22" ht="14.55" x14ac:dyDescent="0.3">
      <c r="T151" s="273"/>
      <c r="U151" s="274"/>
      <c r="V151" s="275"/>
    </row>
    <row r="152" spans="20:22" ht="14.55" x14ac:dyDescent="0.3">
      <c r="T152" s="273"/>
      <c r="U152" s="274"/>
      <c r="V152" s="275"/>
    </row>
    <row r="153" spans="20:22" ht="14.55" x14ac:dyDescent="0.3">
      <c r="T153" s="273"/>
      <c r="U153" s="274"/>
      <c r="V153" s="275"/>
    </row>
    <row r="154" spans="20:22" ht="14.55" x14ac:dyDescent="0.3">
      <c r="T154" s="273"/>
      <c r="U154" s="274"/>
      <c r="V154" s="275"/>
    </row>
    <row r="155" spans="20:22" ht="14.55" x14ac:dyDescent="0.3">
      <c r="T155" s="273"/>
      <c r="U155" s="274"/>
      <c r="V155" s="275"/>
    </row>
    <row r="156" spans="20:22" ht="14.55" x14ac:dyDescent="0.3">
      <c r="T156" s="273"/>
      <c r="U156" s="274"/>
      <c r="V156" s="275"/>
    </row>
    <row r="157" spans="20:22" ht="14.55" x14ac:dyDescent="0.3">
      <c r="T157" s="273"/>
      <c r="U157" s="274"/>
      <c r="V157" s="275"/>
    </row>
    <row r="158" spans="20:22" ht="14.55" x14ac:dyDescent="0.3">
      <c r="T158" s="273"/>
      <c r="U158" s="274"/>
      <c r="V158" s="275"/>
    </row>
    <row r="159" spans="20:22" ht="14.55" x14ac:dyDescent="0.3">
      <c r="T159" s="273"/>
      <c r="U159" s="274"/>
      <c r="V159" s="275"/>
    </row>
    <row r="160" spans="20:22" ht="14.55" x14ac:dyDescent="0.3">
      <c r="T160" s="273"/>
      <c r="U160" s="274"/>
      <c r="V160" s="275"/>
    </row>
    <row r="161" spans="20:22" ht="14.55" x14ac:dyDescent="0.3">
      <c r="T161" s="273"/>
      <c r="U161" s="274"/>
      <c r="V161" s="275"/>
    </row>
    <row r="162" spans="20:22" ht="14.55" x14ac:dyDescent="0.3">
      <c r="T162" s="273"/>
      <c r="U162" s="274"/>
      <c r="V162" s="275"/>
    </row>
    <row r="163" spans="20:22" ht="14.55" x14ac:dyDescent="0.3">
      <c r="T163" s="273"/>
      <c r="U163" s="274"/>
      <c r="V163" s="275"/>
    </row>
    <row r="164" spans="20:22" ht="14.55" x14ac:dyDescent="0.3">
      <c r="T164" s="273"/>
      <c r="U164" s="274"/>
      <c r="V164" s="275"/>
    </row>
    <row r="165" spans="20:22" ht="14.55" x14ac:dyDescent="0.3">
      <c r="T165" s="273"/>
      <c r="U165" s="274"/>
      <c r="V165" s="275"/>
    </row>
    <row r="166" spans="20:22" ht="14.55" x14ac:dyDescent="0.3">
      <c r="T166" s="273"/>
      <c r="U166" s="274"/>
      <c r="V166" s="275"/>
    </row>
    <row r="167" spans="20:22" ht="14.55" x14ac:dyDescent="0.3">
      <c r="T167" s="273"/>
      <c r="U167" s="274"/>
      <c r="V167" s="275"/>
    </row>
    <row r="168" spans="20:22" ht="14.55" x14ac:dyDescent="0.3">
      <c r="T168" s="273"/>
      <c r="U168" s="274"/>
      <c r="V168" s="275"/>
    </row>
    <row r="169" spans="20:22" ht="14.55" x14ac:dyDescent="0.3">
      <c r="T169" s="273"/>
      <c r="U169" s="274"/>
      <c r="V169" s="560"/>
    </row>
    <row r="170" spans="20:22" ht="14.55" x14ac:dyDescent="0.3">
      <c r="T170" s="273"/>
      <c r="U170" s="274"/>
      <c r="V170" s="275"/>
    </row>
    <row r="171" spans="20:22" ht="14.55" x14ac:dyDescent="0.3">
      <c r="T171" s="273"/>
      <c r="U171" s="274"/>
      <c r="V171" s="275"/>
    </row>
    <row r="172" spans="20:22" ht="14.55" x14ac:dyDescent="0.3">
      <c r="T172" s="273"/>
      <c r="U172" s="274"/>
      <c r="V172" s="275"/>
    </row>
    <row r="173" spans="20:22" ht="14.55" x14ac:dyDescent="0.3">
      <c r="T173" s="273"/>
      <c r="U173" s="274"/>
      <c r="V173" s="275"/>
    </row>
    <row r="174" spans="20:22" ht="14.55" x14ac:dyDescent="0.3">
      <c r="T174" s="273"/>
      <c r="U174" s="274"/>
      <c r="V174" s="275"/>
    </row>
    <row r="175" spans="20:22" ht="14.55" x14ac:dyDescent="0.3">
      <c r="T175" s="273"/>
      <c r="U175" s="274"/>
      <c r="V175" s="275"/>
    </row>
    <row r="176" spans="20:22" ht="14.55" x14ac:dyDescent="0.3">
      <c r="T176" s="273"/>
      <c r="U176" s="274"/>
      <c r="V176" s="275"/>
    </row>
    <row r="177" spans="20:22" ht="14.55" x14ac:dyDescent="0.3">
      <c r="T177" s="273"/>
      <c r="U177" s="274"/>
      <c r="V177" s="275"/>
    </row>
    <row r="178" spans="20:22" ht="14.55" x14ac:dyDescent="0.3">
      <c r="T178" s="273"/>
      <c r="U178" s="274"/>
      <c r="V178" s="275"/>
    </row>
    <row r="179" spans="20:22" ht="14.55" x14ac:dyDescent="0.3">
      <c r="T179" s="273"/>
      <c r="U179" s="274"/>
      <c r="V179" s="275"/>
    </row>
    <row r="180" spans="20:22" ht="14.55" x14ac:dyDescent="0.3">
      <c r="T180" s="273"/>
      <c r="U180" s="274"/>
      <c r="V180" s="275"/>
    </row>
    <row r="181" spans="20:22" ht="14.55" x14ac:dyDescent="0.3">
      <c r="T181" s="273"/>
      <c r="U181" s="274"/>
      <c r="V181" s="275"/>
    </row>
    <row r="182" spans="20:22" ht="14.55" x14ac:dyDescent="0.3">
      <c r="T182" s="273"/>
      <c r="U182" s="274"/>
      <c r="V182" s="275"/>
    </row>
    <row r="183" spans="20:22" ht="14.55" x14ac:dyDescent="0.3">
      <c r="T183" s="273"/>
      <c r="U183" s="274"/>
      <c r="V183" s="275"/>
    </row>
    <row r="184" spans="20:22" ht="14.55" x14ac:dyDescent="0.3">
      <c r="T184" s="273"/>
      <c r="U184" s="274"/>
      <c r="V184" s="275"/>
    </row>
    <row r="185" spans="20:22" ht="14.55" x14ac:dyDescent="0.3">
      <c r="T185" s="273"/>
      <c r="U185" s="274"/>
      <c r="V185" s="275"/>
    </row>
    <row r="186" spans="20:22" ht="14.55" x14ac:dyDescent="0.3">
      <c r="T186" s="273"/>
      <c r="U186" s="274"/>
      <c r="V186" s="275"/>
    </row>
    <row r="187" spans="20:22" ht="14.55" x14ac:dyDescent="0.3">
      <c r="T187" s="273"/>
      <c r="U187" s="274"/>
      <c r="V187" s="275"/>
    </row>
    <row r="188" spans="20:22" ht="14.55" x14ac:dyDescent="0.3">
      <c r="T188" s="273"/>
      <c r="U188" s="274"/>
      <c r="V188" s="275"/>
    </row>
    <row r="189" spans="20:22" ht="14.55" x14ac:dyDescent="0.3">
      <c r="T189" s="273"/>
      <c r="U189" s="274"/>
      <c r="V189" s="275"/>
    </row>
    <row r="190" spans="20:22" ht="14.55" x14ac:dyDescent="0.3">
      <c r="T190" s="273"/>
      <c r="U190" s="274"/>
      <c r="V190" s="275"/>
    </row>
    <row r="191" spans="20:22" ht="14.55" x14ac:dyDescent="0.3">
      <c r="T191" s="273"/>
      <c r="U191" s="274"/>
      <c r="V191" s="275"/>
    </row>
    <row r="192" spans="20:22" ht="14.55" x14ac:dyDescent="0.3">
      <c r="T192" s="273"/>
      <c r="U192" s="274"/>
      <c r="V192" s="275"/>
    </row>
    <row r="193" spans="20:22" ht="14.55" x14ac:dyDescent="0.3">
      <c r="T193" s="273"/>
      <c r="U193" s="274"/>
      <c r="V193" s="275"/>
    </row>
    <row r="194" spans="20:22" ht="14.55" x14ac:dyDescent="0.3">
      <c r="T194" s="273"/>
      <c r="U194" s="274"/>
      <c r="V194" s="275"/>
    </row>
    <row r="195" spans="20:22" ht="14.55" x14ac:dyDescent="0.3">
      <c r="T195" s="273"/>
      <c r="U195" s="274"/>
      <c r="V195" s="275"/>
    </row>
    <row r="196" spans="20:22" ht="14.55" x14ac:dyDescent="0.3">
      <c r="T196" s="273"/>
      <c r="U196" s="274"/>
      <c r="V196" s="275"/>
    </row>
    <row r="197" spans="20:22" ht="14.55" x14ac:dyDescent="0.3">
      <c r="T197" s="273"/>
      <c r="U197" s="274"/>
      <c r="V197" s="275"/>
    </row>
    <row r="198" spans="20:22" ht="14.55" x14ac:dyDescent="0.3">
      <c r="T198" s="273"/>
      <c r="U198" s="274"/>
      <c r="V198" s="275"/>
    </row>
    <row r="199" spans="20:22" ht="14.55" x14ac:dyDescent="0.3">
      <c r="T199" s="273"/>
      <c r="U199" s="274"/>
      <c r="V199" s="275"/>
    </row>
    <row r="200" spans="20:22" ht="14.55" x14ac:dyDescent="0.3">
      <c r="T200" s="273"/>
      <c r="U200" s="274"/>
      <c r="V200" s="275"/>
    </row>
    <row r="201" spans="20:22" ht="14.55" x14ac:dyDescent="0.3">
      <c r="T201" s="273"/>
      <c r="U201" s="274"/>
      <c r="V201" s="275"/>
    </row>
    <row r="202" spans="20:22" ht="14.55" x14ac:dyDescent="0.3">
      <c r="T202" s="273"/>
      <c r="U202" s="274"/>
      <c r="V202" s="275"/>
    </row>
    <row r="203" spans="20:22" ht="14.55" x14ac:dyDescent="0.3">
      <c r="T203" s="273"/>
      <c r="U203" s="274"/>
      <c r="V203" s="275"/>
    </row>
    <row r="204" spans="20:22" ht="14.55" x14ac:dyDescent="0.3">
      <c r="T204" s="273"/>
      <c r="U204" s="274"/>
      <c r="V204" s="275"/>
    </row>
    <row r="205" spans="20:22" ht="14.55" x14ac:dyDescent="0.3">
      <c r="T205" s="273"/>
      <c r="U205" s="274"/>
      <c r="V205" s="275"/>
    </row>
    <row r="206" spans="20:22" ht="14.55" x14ac:dyDescent="0.3">
      <c r="T206" s="273"/>
      <c r="U206" s="274"/>
      <c r="V206" s="275"/>
    </row>
    <row r="207" spans="20:22" ht="14.55" x14ac:dyDescent="0.3">
      <c r="T207" s="273"/>
      <c r="U207" s="274"/>
      <c r="V207" s="275"/>
    </row>
    <row r="208" spans="20:22" ht="14.55" x14ac:dyDescent="0.3">
      <c r="T208" s="273"/>
      <c r="U208" s="274"/>
      <c r="V208" s="275"/>
    </row>
    <row r="209" spans="20:22" ht="14.55" x14ac:dyDescent="0.3">
      <c r="T209" s="273"/>
      <c r="U209" s="274"/>
      <c r="V209" s="275"/>
    </row>
    <row r="210" spans="20:22" ht="14.55" x14ac:dyDescent="0.3">
      <c r="T210" s="273"/>
      <c r="U210" s="274"/>
      <c r="V210" s="275"/>
    </row>
    <row r="211" spans="20:22" ht="14.55" x14ac:dyDescent="0.3">
      <c r="T211" s="273"/>
      <c r="U211" s="274"/>
      <c r="V211" s="275"/>
    </row>
    <row r="212" spans="20:22" ht="14.55" x14ac:dyDescent="0.3">
      <c r="T212" s="273"/>
      <c r="U212" s="274"/>
      <c r="V212" s="275"/>
    </row>
    <row r="213" spans="20:22" ht="14.55" x14ac:dyDescent="0.3">
      <c r="T213" s="273"/>
      <c r="U213" s="274"/>
      <c r="V213" s="275"/>
    </row>
    <row r="214" spans="20:22" ht="14.55" x14ac:dyDescent="0.3">
      <c r="T214" s="273"/>
      <c r="U214" s="274"/>
      <c r="V214" s="275"/>
    </row>
    <row r="215" spans="20:22" ht="14.55" x14ac:dyDescent="0.3">
      <c r="T215" s="273"/>
      <c r="U215" s="274"/>
      <c r="V215" s="275"/>
    </row>
    <row r="216" spans="20:22" ht="14.55" x14ac:dyDescent="0.3">
      <c r="T216" s="273"/>
      <c r="U216" s="274"/>
      <c r="V216" s="275"/>
    </row>
    <row r="217" spans="20:22" ht="14.55" x14ac:dyDescent="0.3">
      <c r="T217" s="273"/>
      <c r="U217" s="274"/>
      <c r="V217" s="275"/>
    </row>
    <row r="218" spans="20:22" ht="14.55" x14ac:dyDescent="0.3">
      <c r="T218" s="273"/>
      <c r="U218" s="274"/>
      <c r="V218" s="275"/>
    </row>
    <row r="219" spans="20:22" ht="14.55" x14ac:dyDescent="0.3">
      <c r="T219" s="273"/>
      <c r="U219" s="274"/>
      <c r="V219" s="275"/>
    </row>
    <row r="220" spans="20:22" ht="14.55" x14ac:dyDescent="0.3">
      <c r="T220" s="273"/>
      <c r="U220" s="274"/>
      <c r="V220" s="275"/>
    </row>
    <row r="221" spans="20:22" ht="14.55" x14ac:dyDescent="0.3">
      <c r="T221" s="273"/>
      <c r="U221" s="274"/>
      <c r="V221" s="275"/>
    </row>
    <row r="222" spans="20:22" ht="14.55" x14ac:dyDescent="0.3">
      <c r="T222" s="273"/>
      <c r="U222" s="274"/>
      <c r="V222" s="275"/>
    </row>
    <row r="223" spans="20:22" ht="14.55" x14ac:dyDescent="0.3">
      <c r="T223" s="273"/>
      <c r="U223" s="274"/>
      <c r="V223" s="275"/>
    </row>
    <row r="224" spans="20:22" ht="14.55" x14ac:dyDescent="0.3">
      <c r="T224" s="273"/>
      <c r="U224" s="274"/>
      <c r="V224" s="275"/>
    </row>
    <row r="225" spans="20:22" ht="14.55" x14ac:dyDescent="0.3">
      <c r="T225" s="273"/>
      <c r="U225" s="274"/>
      <c r="V225" s="275"/>
    </row>
    <row r="226" spans="20:22" ht="14.55" x14ac:dyDescent="0.3">
      <c r="T226" s="273"/>
      <c r="U226" s="274"/>
      <c r="V226" s="275"/>
    </row>
    <row r="227" spans="20:22" ht="14.55" x14ac:dyDescent="0.3">
      <c r="T227" s="273"/>
      <c r="U227" s="274"/>
      <c r="V227" s="275"/>
    </row>
    <row r="228" spans="20:22" ht="14.55" x14ac:dyDescent="0.3">
      <c r="T228" s="273"/>
      <c r="U228" s="274"/>
      <c r="V228" s="275"/>
    </row>
    <row r="229" spans="20:22" ht="14.55" x14ac:dyDescent="0.3">
      <c r="T229" s="273"/>
      <c r="U229" s="274"/>
      <c r="V229" s="275"/>
    </row>
    <row r="230" spans="20:22" ht="14.55" x14ac:dyDescent="0.3">
      <c r="T230" s="273"/>
      <c r="U230" s="274"/>
      <c r="V230" s="275"/>
    </row>
    <row r="231" spans="20:22" ht="14.55" x14ac:dyDescent="0.3">
      <c r="T231" s="273"/>
      <c r="U231" s="274"/>
      <c r="V231" s="275"/>
    </row>
    <row r="232" spans="20:22" ht="14.55" x14ac:dyDescent="0.3">
      <c r="T232" s="273"/>
      <c r="U232" s="274"/>
      <c r="V232" s="275"/>
    </row>
    <row r="233" spans="20:22" ht="14.55" x14ac:dyDescent="0.3">
      <c r="T233" s="273"/>
      <c r="U233" s="274"/>
      <c r="V233" s="275"/>
    </row>
    <row r="234" spans="20:22" ht="14.55" x14ac:dyDescent="0.3">
      <c r="T234" s="273"/>
      <c r="U234" s="274"/>
      <c r="V234" s="275"/>
    </row>
    <row r="235" spans="20:22" ht="14.55" x14ac:dyDescent="0.3">
      <c r="T235" s="273"/>
      <c r="U235" s="274"/>
      <c r="V235" s="275"/>
    </row>
    <row r="236" spans="20:22" ht="14.55" x14ac:dyDescent="0.3">
      <c r="T236" s="273"/>
      <c r="U236" s="274"/>
      <c r="V236" s="275"/>
    </row>
    <row r="237" spans="20:22" ht="14.55" x14ac:dyDescent="0.3">
      <c r="T237" s="273"/>
      <c r="U237" s="274"/>
      <c r="V237" s="275"/>
    </row>
    <row r="238" spans="20:22" ht="14.55" x14ac:dyDescent="0.3">
      <c r="T238" s="273"/>
      <c r="U238" s="274"/>
      <c r="V238" s="275"/>
    </row>
    <row r="239" spans="20:22" ht="14.55" x14ac:dyDescent="0.3">
      <c r="T239" s="273"/>
      <c r="U239" s="274"/>
      <c r="V239" s="275"/>
    </row>
    <row r="240" spans="20:22" ht="14.55" x14ac:dyDescent="0.3">
      <c r="T240" s="273"/>
      <c r="U240" s="274"/>
      <c r="V240" s="275"/>
    </row>
    <row r="241" spans="20:22" ht="14.55" x14ac:dyDescent="0.3">
      <c r="T241" s="273"/>
      <c r="U241" s="274"/>
      <c r="V241" s="275"/>
    </row>
    <row r="242" spans="20:22" ht="14.55" x14ac:dyDescent="0.3">
      <c r="T242" s="273"/>
      <c r="U242" s="274"/>
      <c r="V242" s="275"/>
    </row>
    <row r="243" spans="20:22" ht="14.55" x14ac:dyDescent="0.3">
      <c r="T243" s="273"/>
      <c r="U243" s="274"/>
      <c r="V243" s="275"/>
    </row>
    <row r="244" spans="20:22" ht="14.55" x14ac:dyDescent="0.3">
      <c r="T244" s="273"/>
      <c r="U244" s="274"/>
      <c r="V244" s="275"/>
    </row>
    <row r="245" spans="20:22" ht="14.55" x14ac:dyDescent="0.3">
      <c r="T245" s="273"/>
      <c r="U245" s="274"/>
      <c r="V245" s="275"/>
    </row>
    <row r="246" spans="20:22" ht="14.55" x14ac:dyDescent="0.3">
      <c r="T246" s="273"/>
      <c r="U246" s="274"/>
      <c r="V246" s="275"/>
    </row>
    <row r="247" spans="20:22" ht="14.55" x14ac:dyDescent="0.3">
      <c r="T247" s="273"/>
      <c r="U247" s="274"/>
      <c r="V247" s="275"/>
    </row>
    <row r="248" spans="20:22" ht="14.55" x14ac:dyDescent="0.3">
      <c r="T248" s="273"/>
      <c r="U248" s="274"/>
      <c r="V248" s="275"/>
    </row>
    <row r="249" spans="20:22" ht="14.55" x14ac:dyDescent="0.3">
      <c r="T249" s="273"/>
      <c r="U249" s="274"/>
      <c r="V249" s="275"/>
    </row>
    <row r="250" spans="20:22" ht="14.55" x14ac:dyDescent="0.3">
      <c r="T250" s="273"/>
      <c r="U250" s="274"/>
      <c r="V250" s="275"/>
    </row>
    <row r="251" spans="20:22" ht="14.55" x14ac:dyDescent="0.3">
      <c r="T251" s="273"/>
      <c r="U251" s="274"/>
      <c r="V251" s="275"/>
    </row>
    <row r="252" spans="20:22" ht="14.55" x14ac:dyDescent="0.3">
      <c r="T252" s="273"/>
      <c r="U252" s="274"/>
      <c r="V252" s="275"/>
    </row>
    <row r="253" spans="20:22" ht="14.55" x14ac:dyDescent="0.3">
      <c r="T253" s="273"/>
      <c r="U253" s="274"/>
      <c r="V253" s="275"/>
    </row>
    <row r="254" spans="20:22" ht="14.55" x14ac:dyDescent="0.3">
      <c r="T254" s="273"/>
      <c r="U254" s="274"/>
      <c r="V254" s="275"/>
    </row>
    <row r="255" spans="20:22" ht="14.55" x14ac:dyDescent="0.3">
      <c r="T255" s="273"/>
      <c r="U255" s="274"/>
      <c r="V255" s="275"/>
    </row>
    <row r="256" spans="20:22" ht="14.55" x14ac:dyDescent="0.3">
      <c r="T256" s="273"/>
      <c r="U256" s="274"/>
      <c r="V256" s="275"/>
    </row>
    <row r="257" spans="3:22" ht="14.55" x14ac:dyDescent="0.3">
      <c r="T257" s="273"/>
      <c r="U257" s="274"/>
      <c r="V257" s="275"/>
    </row>
    <row r="258" spans="3:22" ht="14.55" x14ac:dyDescent="0.3">
      <c r="T258" s="273"/>
      <c r="U258" s="274"/>
      <c r="V258" s="275"/>
    </row>
    <row r="259" spans="3:22" ht="14.55" x14ac:dyDescent="0.3">
      <c r="T259" s="273"/>
      <c r="U259" s="274"/>
      <c r="V259" s="275"/>
    </row>
    <row r="260" spans="3:22" ht="14.55" x14ac:dyDescent="0.3">
      <c r="T260" s="273"/>
      <c r="U260" s="274"/>
      <c r="V260" s="275"/>
    </row>
    <row r="261" spans="3:22" ht="14.55" x14ac:dyDescent="0.3">
      <c r="T261" s="273"/>
      <c r="U261" s="274"/>
      <c r="V261" s="275"/>
    </row>
    <row r="262" spans="3:22" ht="14.55" x14ac:dyDescent="0.3">
      <c r="T262" s="273"/>
      <c r="U262" s="274"/>
      <c r="V262" s="275"/>
    </row>
    <row r="263" spans="3:22" ht="14.55" x14ac:dyDescent="0.3">
      <c r="T263" s="273"/>
      <c r="U263" s="274"/>
      <c r="V263" s="275"/>
    </row>
    <row r="264" spans="3:22" ht="14.55" x14ac:dyDescent="0.3">
      <c r="T264" s="273"/>
      <c r="U264" s="274"/>
      <c r="V264" s="275"/>
    </row>
    <row r="265" spans="3:22" ht="14.55" x14ac:dyDescent="0.3">
      <c r="T265" s="273"/>
      <c r="U265" s="274"/>
      <c r="V265" s="275"/>
    </row>
    <row r="266" spans="3:22" ht="14.55" x14ac:dyDescent="0.3">
      <c r="C266" s="543" t="e">
        <f>'Berechnung - Wärmeschutz'!C106</f>
        <v>#REF!</v>
      </c>
      <c r="D266" s="543" t="e">
        <f>'Berechnung - Wärmeschutz'!D106</f>
        <v>#REF!</v>
      </c>
      <c r="E266" s="543" t="e">
        <f>'Berechnung - Wärmeschutz'!E106</f>
        <v>#REF!</v>
      </c>
      <c r="F266" s="543" t="e">
        <f>'Berechnung - Wärmeschutz'!F106</f>
        <v>#REF!</v>
      </c>
      <c r="G266" s="543" t="e">
        <f>'Berechnung - Wärmeschutz'!G106</f>
        <v>#REF!</v>
      </c>
      <c r="H266" s="543" t="e">
        <f>'Berechnung - Wärmeschutz'!H106</f>
        <v>#REF!</v>
      </c>
      <c r="I266" s="543">
        <f>'Berechnung - Wärmeschutz'!I106</f>
        <v>0</v>
      </c>
      <c r="J266" s="543">
        <f>'Berechnung - Wärmeschutz'!J106</f>
        <v>0</v>
      </c>
      <c r="K266" s="543">
        <f>'Berechnung - Wärmeschutz'!K106</f>
        <v>0</v>
      </c>
      <c r="L266" s="543">
        <f>'Berechnung - Wärmeschutz'!L106</f>
        <v>0</v>
      </c>
      <c r="M266" s="543" t="e">
        <f>'Berechnung - Wärmeschutz'!M106</f>
        <v>#REF!</v>
      </c>
      <c r="N266" s="543" t="e">
        <f>'Berechnung - Wärmeschutz'!N106</f>
        <v>#REF!</v>
      </c>
      <c r="O266" s="543">
        <f>'Berechnung - Wärmeschutz'!O106</f>
        <v>0</v>
      </c>
      <c r="P266" s="543">
        <f>'Berechnung - Wärmeschutz'!P106</f>
        <v>0</v>
      </c>
      <c r="T266" s="273"/>
      <c r="U266" s="274"/>
      <c r="V266" s="275"/>
    </row>
    <row r="267" spans="3:22" ht="14.55" x14ac:dyDescent="0.3">
      <c r="C267" s="543" t="e">
        <f>'Berechnung - Wärmeschutz'!C107</f>
        <v>#REF!</v>
      </c>
      <c r="D267" s="543" t="e">
        <f>'Berechnung - Wärmeschutz'!D107</f>
        <v>#REF!</v>
      </c>
      <c r="E267" s="543" t="e">
        <f>'Berechnung - Wärmeschutz'!E107</f>
        <v>#REF!</v>
      </c>
      <c r="F267" s="543" t="e">
        <f>'Berechnung - Wärmeschutz'!F107</f>
        <v>#REF!</v>
      </c>
      <c r="G267" s="543" t="e">
        <f>'Berechnung - Wärmeschutz'!G107</f>
        <v>#REF!</v>
      </c>
      <c r="H267" s="543" t="e">
        <f>'Berechnung - Wärmeschutz'!H107</f>
        <v>#REF!</v>
      </c>
      <c r="I267" s="543">
        <f>'Berechnung - Wärmeschutz'!I107</f>
        <v>0</v>
      </c>
      <c r="J267" s="543">
        <f>'Berechnung - Wärmeschutz'!J107</f>
        <v>0</v>
      </c>
      <c r="K267" s="543">
        <f>'Berechnung - Wärmeschutz'!K107</f>
        <v>0</v>
      </c>
      <c r="L267" s="543">
        <f>'Berechnung - Wärmeschutz'!L107</f>
        <v>0</v>
      </c>
      <c r="M267" s="543" t="e">
        <f>'Berechnung - Wärmeschutz'!M107</f>
        <v>#REF!</v>
      </c>
      <c r="N267" s="543" t="e">
        <f>'Berechnung - Wärmeschutz'!N107</f>
        <v>#REF!</v>
      </c>
      <c r="O267" s="543">
        <f>'Berechnung - Wärmeschutz'!O107</f>
        <v>0</v>
      </c>
      <c r="P267" s="543">
        <f>'Berechnung - Wärmeschutz'!P107</f>
        <v>0</v>
      </c>
      <c r="T267" s="273"/>
      <c r="U267" s="274"/>
      <c r="V267" s="275"/>
    </row>
    <row r="268" spans="3:22" ht="14.55" x14ac:dyDescent="0.3">
      <c r="C268" s="543" t="e">
        <f>'Berechnung - Wärmeschutz'!C108</f>
        <v>#REF!</v>
      </c>
      <c r="D268" s="543" t="e">
        <f>'Berechnung - Wärmeschutz'!D108</f>
        <v>#REF!</v>
      </c>
      <c r="E268" s="543" t="e">
        <f>'Berechnung - Wärmeschutz'!E108</f>
        <v>#REF!</v>
      </c>
      <c r="F268" s="543" t="e">
        <f>'Berechnung - Wärmeschutz'!F108</f>
        <v>#REF!</v>
      </c>
      <c r="G268" s="543" t="e">
        <f>'Berechnung - Wärmeschutz'!G108</f>
        <v>#REF!</v>
      </c>
      <c r="H268" s="543" t="e">
        <f>'Berechnung - Wärmeschutz'!H108</f>
        <v>#REF!</v>
      </c>
      <c r="I268" s="543">
        <f>'Berechnung - Wärmeschutz'!I108</f>
        <v>0</v>
      </c>
      <c r="J268" s="543">
        <f>'Berechnung - Wärmeschutz'!J108</f>
        <v>0</v>
      </c>
      <c r="K268" s="543">
        <f>'Berechnung - Wärmeschutz'!K108</f>
        <v>0</v>
      </c>
      <c r="L268" s="543">
        <f>'Berechnung - Wärmeschutz'!L108</f>
        <v>0</v>
      </c>
      <c r="M268" s="543" t="e">
        <f>'Berechnung - Wärmeschutz'!M108</f>
        <v>#REF!</v>
      </c>
      <c r="N268" s="543" t="e">
        <f>'Berechnung - Wärmeschutz'!N108</f>
        <v>#REF!</v>
      </c>
      <c r="O268" s="543">
        <f>'Berechnung - Wärmeschutz'!O108</f>
        <v>0</v>
      </c>
      <c r="P268" s="543">
        <f>'Berechnung - Wärmeschutz'!P108</f>
        <v>0</v>
      </c>
      <c r="T268" s="273"/>
      <c r="U268" s="274"/>
      <c r="V268" s="275"/>
    </row>
    <row r="269" spans="3:22" ht="14.55" x14ac:dyDescent="0.3">
      <c r="C269" s="543" t="e">
        <f>'Berechnung - Wärmeschutz'!C109</f>
        <v>#REF!</v>
      </c>
      <c r="D269" s="543" t="e">
        <f>'Berechnung - Wärmeschutz'!D109</f>
        <v>#REF!</v>
      </c>
      <c r="E269" s="543" t="e">
        <f>'Berechnung - Wärmeschutz'!E109</f>
        <v>#REF!</v>
      </c>
      <c r="F269" s="543" t="e">
        <f>'Berechnung - Wärmeschutz'!F109</f>
        <v>#REF!</v>
      </c>
      <c r="G269" s="543" t="e">
        <f>'Berechnung - Wärmeschutz'!G109</f>
        <v>#REF!</v>
      </c>
      <c r="H269" s="543" t="e">
        <f>'Berechnung - Wärmeschutz'!H109</f>
        <v>#REF!</v>
      </c>
      <c r="I269" s="543">
        <f>'Berechnung - Wärmeschutz'!I109</f>
        <v>0</v>
      </c>
      <c r="J269" s="543">
        <f>'Berechnung - Wärmeschutz'!J109</f>
        <v>0</v>
      </c>
      <c r="K269" s="543">
        <f>'Berechnung - Wärmeschutz'!K109</f>
        <v>0</v>
      </c>
      <c r="L269" s="543">
        <f>'Berechnung - Wärmeschutz'!L109</f>
        <v>0</v>
      </c>
      <c r="M269" s="543" t="e">
        <f>'Berechnung - Wärmeschutz'!M109</f>
        <v>#REF!</v>
      </c>
      <c r="N269" s="543" t="e">
        <f>'Berechnung - Wärmeschutz'!N109</f>
        <v>#REF!</v>
      </c>
      <c r="O269" s="543">
        <f>'Berechnung - Wärmeschutz'!O109</f>
        <v>0</v>
      </c>
      <c r="P269" s="543">
        <f>'Berechnung - Wärmeschutz'!P109</f>
        <v>0</v>
      </c>
      <c r="T269" s="273"/>
      <c r="U269" s="274"/>
      <c r="V269" s="275"/>
    </row>
    <row r="270" spans="3:22" ht="14.55" x14ac:dyDescent="0.3">
      <c r="C270" s="543" t="e">
        <f>'Berechnung - Wärmeschutz'!C110</f>
        <v>#REF!</v>
      </c>
      <c r="D270" s="543" t="e">
        <f>'Berechnung - Wärmeschutz'!D110</f>
        <v>#REF!</v>
      </c>
      <c r="E270" s="543" t="e">
        <f>'Berechnung - Wärmeschutz'!E110</f>
        <v>#REF!</v>
      </c>
      <c r="F270" s="543" t="e">
        <f>'Berechnung - Wärmeschutz'!F110</f>
        <v>#REF!</v>
      </c>
      <c r="G270" s="543" t="e">
        <f>'Berechnung - Wärmeschutz'!G110</f>
        <v>#REF!</v>
      </c>
      <c r="H270" s="543" t="e">
        <f>'Berechnung - Wärmeschutz'!H110</f>
        <v>#REF!</v>
      </c>
      <c r="I270" s="543">
        <f>'Berechnung - Wärmeschutz'!I110</f>
        <v>0</v>
      </c>
      <c r="J270" s="543">
        <f>'Berechnung - Wärmeschutz'!J110</f>
        <v>0</v>
      </c>
      <c r="K270" s="543">
        <f>'Berechnung - Wärmeschutz'!K110</f>
        <v>0</v>
      </c>
      <c r="L270" s="543">
        <f>'Berechnung - Wärmeschutz'!L110</f>
        <v>0</v>
      </c>
      <c r="M270" s="543" t="e">
        <f>'Berechnung - Wärmeschutz'!M110</f>
        <v>#REF!</v>
      </c>
      <c r="N270" s="543" t="e">
        <f>'Berechnung - Wärmeschutz'!N110</f>
        <v>#REF!</v>
      </c>
      <c r="O270" s="543">
        <f>'Berechnung - Wärmeschutz'!O110</f>
        <v>0</v>
      </c>
      <c r="P270" s="543">
        <f>'Berechnung - Wärmeschutz'!P110</f>
        <v>0</v>
      </c>
      <c r="T270" s="273"/>
      <c r="U270" s="274"/>
      <c r="V270" s="275"/>
    </row>
    <row r="271" spans="3:22" ht="14.55" x14ac:dyDescent="0.3">
      <c r="C271" s="543" t="e">
        <f>'Berechnung - Wärmeschutz'!C111</f>
        <v>#REF!</v>
      </c>
      <c r="D271" s="543" t="e">
        <f>'Berechnung - Wärmeschutz'!D111</f>
        <v>#REF!</v>
      </c>
      <c r="E271" s="543" t="e">
        <f>'Berechnung - Wärmeschutz'!E111</f>
        <v>#REF!</v>
      </c>
      <c r="F271" s="543" t="e">
        <f>'Berechnung - Wärmeschutz'!F111</f>
        <v>#REF!</v>
      </c>
      <c r="G271" s="543" t="e">
        <f>'Berechnung - Wärmeschutz'!G111</f>
        <v>#REF!</v>
      </c>
      <c r="H271" s="543" t="e">
        <f>'Berechnung - Wärmeschutz'!H111</f>
        <v>#REF!</v>
      </c>
      <c r="I271" s="543">
        <f>'Berechnung - Wärmeschutz'!I111</f>
        <v>0</v>
      </c>
      <c r="J271" s="543">
        <f>'Berechnung - Wärmeschutz'!J111</f>
        <v>0</v>
      </c>
      <c r="K271" s="543">
        <f>'Berechnung - Wärmeschutz'!K111</f>
        <v>0</v>
      </c>
      <c r="L271" s="543">
        <f>'Berechnung - Wärmeschutz'!L111</f>
        <v>0</v>
      </c>
      <c r="M271" s="543" t="e">
        <f>'Berechnung - Wärmeschutz'!M111</f>
        <v>#REF!</v>
      </c>
      <c r="N271" s="543" t="e">
        <f>'Berechnung - Wärmeschutz'!N111</f>
        <v>#REF!</v>
      </c>
      <c r="O271" s="543">
        <f>'Berechnung - Wärmeschutz'!O111</f>
        <v>0</v>
      </c>
      <c r="P271" s="543">
        <f>'Berechnung - Wärmeschutz'!P111</f>
        <v>0</v>
      </c>
      <c r="T271" s="273"/>
      <c r="U271" s="274"/>
      <c r="V271" s="275"/>
    </row>
    <row r="272" spans="3:22" ht="14.55" x14ac:dyDescent="0.3">
      <c r="C272" s="543" t="e">
        <f>'Berechnung - Wärmeschutz'!C112</f>
        <v>#REF!</v>
      </c>
      <c r="D272" s="543" t="e">
        <f>'Berechnung - Wärmeschutz'!D112</f>
        <v>#REF!</v>
      </c>
      <c r="E272" s="543" t="e">
        <f>'Berechnung - Wärmeschutz'!E112</f>
        <v>#REF!</v>
      </c>
      <c r="F272" s="543" t="e">
        <f>'Berechnung - Wärmeschutz'!F112</f>
        <v>#REF!</v>
      </c>
      <c r="G272" s="543" t="e">
        <f>'Berechnung - Wärmeschutz'!G112</f>
        <v>#REF!</v>
      </c>
      <c r="H272" s="543" t="e">
        <f>'Berechnung - Wärmeschutz'!H112</f>
        <v>#REF!</v>
      </c>
      <c r="I272" s="543">
        <f>'Berechnung - Wärmeschutz'!I112</f>
        <v>0</v>
      </c>
      <c r="J272" s="543">
        <f>'Berechnung - Wärmeschutz'!J112</f>
        <v>0</v>
      </c>
      <c r="K272" s="543">
        <f>'Berechnung - Wärmeschutz'!K112</f>
        <v>0</v>
      </c>
      <c r="L272" s="543">
        <f>'Berechnung - Wärmeschutz'!L112</f>
        <v>0</v>
      </c>
      <c r="M272" s="543" t="e">
        <f>'Berechnung - Wärmeschutz'!M112</f>
        <v>#REF!</v>
      </c>
      <c r="N272" s="543" t="e">
        <f>'Berechnung - Wärmeschutz'!N112</f>
        <v>#REF!</v>
      </c>
      <c r="O272" s="543">
        <f>'Berechnung - Wärmeschutz'!O112</f>
        <v>0</v>
      </c>
      <c r="P272" s="543">
        <f>'Berechnung - Wärmeschutz'!P112</f>
        <v>0</v>
      </c>
      <c r="T272" s="273"/>
      <c r="U272" s="274"/>
      <c r="V272" s="275"/>
    </row>
    <row r="273" spans="3:22" ht="14.55" x14ac:dyDescent="0.3">
      <c r="C273" s="543" t="e">
        <f>'Berechnung - Wärmeschutz'!C113</f>
        <v>#REF!</v>
      </c>
      <c r="D273" s="543" t="e">
        <f>'Berechnung - Wärmeschutz'!D113</f>
        <v>#REF!</v>
      </c>
      <c r="E273" s="543" t="e">
        <f>'Berechnung - Wärmeschutz'!E113</f>
        <v>#REF!</v>
      </c>
      <c r="F273" s="543" t="e">
        <f>'Berechnung - Wärmeschutz'!F113</f>
        <v>#REF!</v>
      </c>
      <c r="G273" s="543" t="e">
        <f>'Berechnung - Wärmeschutz'!G113</f>
        <v>#REF!</v>
      </c>
      <c r="H273" s="543" t="e">
        <f>'Berechnung - Wärmeschutz'!H113</f>
        <v>#REF!</v>
      </c>
      <c r="I273" s="543">
        <f>'Berechnung - Wärmeschutz'!I113</f>
        <v>0</v>
      </c>
      <c r="J273" s="543">
        <f>'Berechnung - Wärmeschutz'!J113</f>
        <v>0</v>
      </c>
      <c r="K273" s="543">
        <f>'Berechnung - Wärmeschutz'!K113</f>
        <v>0</v>
      </c>
      <c r="L273" s="543">
        <f>'Berechnung - Wärmeschutz'!L113</f>
        <v>0</v>
      </c>
      <c r="M273" s="543" t="e">
        <f>'Berechnung - Wärmeschutz'!M113</f>
        <v>#REF!</v>
      </c>
      <c r="N273" s="543" t="e">
        <f>'Berechnung - Wärmeschutz'!N113</f>
        <v>#REF!</v>
      </c>
      <c r="O273" s="543">
        <f>'Berechnung - Wärmeschutz'!O113</f>
        <v>0</v>
      </c>
      <c r="P273" s="543">
        <f>'Berechnung - Wärmeschutz'!P113</f>
        <v>0</v>
      </c>
      <c r="T273" s="273"/>
      <c r="U273" s="274"/>
      <c r="V273" s="275"/>
    </row>
    <row r="274" spans="3:22" ht="14.55" x14ac:dyDescent="0.3">
      <c r="T274" s="273"/>
      <c r="U274" s="274"/>
      <c r="V274" s="275"/>
    </row>
    <row r="275" spans="3:22" ht="14.55" x14ac:dyDescent="0.3">
      <c r="T275" s="273"/>
      <c r="U275" s="274"/>
      <c r="V275" s="275"/>
    </row>
    <row r="276" spans="3:22" ht="14.55" x14ac:dyDescent="0.3">
      <c r="T276" s="273"/>
      <c r="U276" s="274"/>
      <c r="V276" s="275"/>
    </row>
    <row r="277" spans="3:22" ht="14.55" x14ac:dyDescent="0.3">
      <c r="T277" s="273"/>
      <c r="U277" s="274"/>
      <c r="V277" s="275"/>
    </row>
    <row r="278" spans="3:22" ht="14.55" x14ac:dyDescent="0.3">
      <c r="T278" s="273"/>
      <c r="U278" s="274"/>
      <c r="V278" s="275"/>
    </row>
    <row r="279" spans="3:22" ht="14.55" x14ac:dyDescent="0.3">
      <c r="T279" s="273"/>
      <c r="U279" s="274"/>
      <c r="V279" s="275"/>
    </row>
    <row r="280" spans="3:22" ht="14.55" x14ac:dyDescent="0.3">
      <c r="T280" s="273"/>
      <c r="U280" s="274"/>
      <c r="V280" s="275"/>
    </row>
    <row r="281" spans="3:22" ht="14.55" x14ac:dyDescent="0.3">
      <c r="T281" s="273"/>
      <c r="U281" s="274"/>
      <c r="V281" s="275"/>
    </row>
    <row r="282" spans="3:22" ht="14.55" x14ac:dyDescent="0.3">
      <c r="T282" s="273"/>
      <c r="U282" s="274"/>
      <c r="V282" s="275"/>
    </row>
    <row r="283" spans="3:22" ht="14.55" x14ac:dyDescent="0.3">
      <c r="T283" s="273"/>
      <c r="U283" s="274"/>
      <c r="V283" s="275"/>
    </row>
    <row r="284" spans="3:22" ht="14.55" x14ac:dyDescent="0.3">
      <c r="T284" s="273"/>
      <c r="U284" s="274"/>
      <c r="V284" s="275"/>
    </row>
    <row r="285" spans="3:22" ht="14.55" x14ac:dyDescent="0.3">
      <c r="T285" s="273"/>
      <c r="U285" s="274"/>
      <c r="V285" s="275"/>
    </row>
    <row r="286" spans="3:22" ht="14.55" x14ac:dyDescent="0.3">
      <c r="T286" s="273"/>
      <c r="U286" s="274"/>
      <c r="V286" s="275"/>
    </row>
    <row r="287" spans="3:22" ht="14.55" x14ac:dyDescent="0.3">
      <c r="T287" s="273"/>
      <c r="U287" s="274"/>
      <c r="V287" s="275"/>
    </row>
    <row r="288" spans="3:22" ht="14.55" x14ac:dyDescent="0.3">
      <c r="T288" s="273"/>
      <c r="U288" s="274"/>
      <c r="V288" s="275"/>
    </row>
    <row r="289" spans="20:22" ht="14.55" x14ac:dyDescent="0.3">
      <c r="T289" s="273"/>
      <c r="U289" s="274"/>
      <c r="V289" s="275"/>
    </row>
    <row r="290" spans="20:22" ht="14.55" x14ac:dyDescent="0.3">
      <c r="T290" s="273"/>
      <c r="U290" s="274"/>
      <c r="V290" s="275"/>
    </row>
    <row r="291" spans="20:22" ht="14.55" x14ac:dyDescent="0.3">
      <c r="T291" s="273"/>
      <c r="U291" s="274"/>
      <c r="V291" s="275"/>
    </row>
    <row r="292" spans="20:22" ht="14.55" x14ac:dyDescent="0.3">
      <c r="T292" s="273"/>
      <c r="U292" s="274"/>
      <c r="V292" s="275"/>
    </row>
    <row r="293" spans="20:22" ht="14.55" x14ac:dyDescent="0.3">
      <c r="T293" s="273"/>
      <c r="U293" s="274"/>
      <c r="V293" s="275"/>
    </row>
    <row r="294" spans="20:22" ht="14.55" x14ac:dyDescent="0.3">
      <c r="T294" s="273"/>
      <c r="U294" s="274"/>
      <c r="V294" s="275"/>
    </row>
    <row r="295" spans="20:22" ht="14.55" x14ac:dyDescent="0.3">
      <c r="T295" s="273"/>
      <c r="U295" s="274"/>
      <c r="V295" s="275"/>
    </row>
    <row r="296" spans="20:22" ht="14.55" x14ac:dyDescent="0.3">
      <c r="T296" s="273"/>
      <c r="U296" s="274"/>
      <c r="V296" s="275"/>
    </row>
    <row r="297" spans="20:22" ht="14.55" x14ac:dyDescent="0.3">
      <c r="T297" s="273"/>
      <c r="U297" s="274"/>
      <c r="V297" s="275"/>
    </row>
    <row r="298" spans="20:22" ht="14.55" x14ac:dyDescent="0.3">
      <c r="T298" s="273"/>
      <c r="U298" s="274"/>
      <c r="V298" s="275"/>
    </row>
    <row r="299" spans="20:22" ht="14.55" x14ac:dyDescent="0.3">
      <c r="T299" s="273"/>
      <c r="U299" s="274"/>
      <c r="V299" s="275"/>
    </row>
    <row r="300" spans="20:22" ht="14.55" x14ac:dyDescent="0.3">
      <c r="T300" s="273"/>
      <c r="U300" s="274"/>
      <c r="V300" s="275"/>
    </row>
    <row r="301" spans="20:22" ht="14.55" x14ac:dyDescent="0.3">
      <c r="T301" s="273"/>
      <c r="U301" s="274"/>
      <c r="V301" s="275"/>
    </row>
    <row r="302" spans="20:22" ht="14.55" x14ac:dyDescent="0.3">
      <c r="T302" s="273"/>
      <c r="U302" s="274"/>
      <c r="V302" s="275"/>
    </row>
    <row r="303" spans="20:22" ht="14.55" x14ac:dyDescent="0.3">
      <c r="T303" s="273"/>
      <c r="U303" s="274"/>
      <c r="V303" s="275"/>
    </row>
    <row r="304" spans="20:22" ht="14.55" x14ac:dyDescent="0.3">
      <c r="T304" s="273"/>
      <c r="U304" s="274"/>
      <c r="V304" s="275"/>
    </row>
    <row r="305" spans="20:22" ht="14.55" x14ac:dyDescent="0.3">
      <c r="T305" s="273"/>
      <c r="U305" s="274"/>
      <c r="V305" s="275"/>
    </row>
    <row r="306" spans="20:22" ht="14.55" x14ac:dyDescent="0.3">
      <c r="T306" s="273"/>
      <c r="U306" s="274"/>
      <c r="V306" s="275"/>
    </row>
    <row r="307" spans="20:22" ht="14.55" x14ac:dyDescent="0.3">
      <c r="T307" s="273"/>
      <c r="U307" s="274"/>
      <c r="V307" s="275"/>
    </row>
    <row r="308" spans="20:22" ht="14.55" x14ac:dyDescent="0.3">
      <c r="T308" s="273"/>
      <c r="U308" s="274"/>
      <c r="V308" s="275"/>
    </row>
    <row r="309" spans="20:22" ht="14.55" x14ac:dyDescent="0.3">
      <c r="T309" s="273"/>
      <c r="U309" s="274"/>
      <c r="V309" s="275"/>
    </row>
    <row r="310" spans="20:22" ht="14.55" x14ac:dyDescent="0.3">
      <c r="T310" s="273"/>
      <c r="U310" s="274"/>
      <c r="V310" s="275"/>
    </row>
    <row r="311" spans="20:22" ht="14.55" x14ac:dyDescent="0.3">
      <c r="T311" s="273"/>
      <c r="U311" s="274"/>
      <c r="V311" s="275"/>
    </row>
    <row r="312" spans="20:22" ht="14.55" x14ac:dyDescent="0.3">
      <c r="T312" s="273"/>
      <c r="U312" s="274"/>
      <c r="V312" s="275"/>
    </row>
    <row r="313" spans="20:22" ht="14.55" x14ac:dyDescent="0.3">
      <c r="T313" s="273"/>
      <c r="U313" s="274"/>
      <c r="V313" s="275"/>
    </row>
    <row r="314" spans="20:22" ht="14.55" x14ac:dyDescent="0.3">
      <c r="T314" s="273"/>
      <c r="U314" s="274"/>
      <c r="V314" s="275"/>
    </row>
    <row r="315" spans="20:22" ht="14.55" x14ac:dyDescent="0.3">
      <c r="T315" s="273"/>
      <c r="U315" s="274"/>
      <c r="V315" s="275"/>
    </row>
    <row r="316" spans="20:22" ht="14.55" x14ac:dyDescent="0.3">
      <c r="T316" s="273"/>
      <c r="U316" s="274"/>
      <c r="V316" s="275"/>
    </row>
    <row r="317" spans="20:22" ht="14.55" x14ac:dyDescent="0.3">
      <c r="T317" s="273"/>
      <c r="U317" s="274"/>
      <c r="V317" s="275"/>
    </row>
    <row r="318" spans="20:22" ht="14.55" x14ac:dyDescent="0.3">
      <c r="T318" s="273"/>
      <c r="U318" s="274"/>
      <c r="V318" s="275"/>
    </row>
    <row r="319" spans="20:22" ht="14.55" x14ac:dyDescent="0.3">
      <c r="T319" s="273"/>
      <c r="U319" s="274"/>
      <c r="V319" s="275"/>
    </row>
    <row r="320" spans="20:22" ht="14.55" x14ac:dyDescent="0.3">
      <c r="T320" s="273"/>
      <c r="U320" s="274"/>
      <c r="V320" s="275"/>
    </row>
    <row r="321" spans="20:22" ht="14.55" x14ac:dyDescent="0.3">
      <c r="T321" s="273"/>
      <c r="U321" s="274"/>
      <c r="V321" s="275"/>
    </row>
    <row r="322" spans="20:22" ht="14.55" x14ac:dyDescent="0.3">
      <c r="T322" s="273"/>
      <c r="U322" s="274"/>
      <c r="V322" s="275"/>
    </row>
    <row r="323" spans="20:22" ht="14.55" x14ac:dyDescent="0.3">
      <c r="T323" s="273"/>
      <c r="U323" s="274"/>
      <c r="V323" s="275"/>
    </row>
    <row r="324" spans="20:22" ht="14.55" x14ac:dyDescent="0.3">
      <c r="T324" s="273"/>
      <c r="U324" s="274"/>
      <c r="V324" s="275"/>
    </row>
    <row r="325" spans="20:22" ht="14.55" x14ac:dyDescent="0.3">
      <c r="T325" s="273"/>
      <c r="U325" s="274"/>
      <c r="V325" s="275"/>
    </row>
    <row r="326" spans="20:22" ht="14.55" x14ac:dyDescent="0.3">
      <c r="T326" s="273"/>
      <c r="U326" s="274"/>
      <c r="V326" s="275"/>
    </row>
    <row r="327" spans="20:22" ht="14.55" x14ac:dyDescent="0.3">
      <c r="T327" s="273"/>
      <c r="U327" s="274"/>
      <c r="V327" s="275"/>
    </row>
    <row r="328" spans="20:22" ht="14.55" x14ac:dyDescent="0.3">
      <c r="T328" s="273"/>
      <c r="U328" s="274"/>
      <c r="V328" s="275"/>
    </row>
    <row r="329" spans="20:22" ht="14.55" x14ac:dyDescent="0.3">
      <c r="T329" s="273"/>
      <c r="U329" s="274"/>
      <c r="V329" s="275"/>
    </row>
    <row r="330" spans="20:22" ht="14.55" x14ac:dyDescent="0.3">
      <c r="T330" s="273"/>
      <c r="U330" s="274"/>
      <c r="V330" s="275"/>
    </row>
    <row r="331" spans="20:22" ht="14.55" x14ac:dyDescent="0.3">
      <c r="T331" s="273"/>
      <c r="U331" s="274"/>
      <c r="V331" s="275"/>
    </row>
    <row r="332" spans="20:22" ht="14.55" x14ac:dyDescent="0.3">
      <c r="T332" s="273"/>
      <c r="U332" s="274"/>
      <c r="V332" s="275"/>
    </row>
    <row r="333" spans="20:22" ht="14.55" x14ac:dyDescent="0.3">
      <c r="T333" s="273"/>
      <c r="U333" s="274"/>
      <c r="V333" s="275"/>
    </row>
    <row r="334" spans="20:22" ht="14.55" x14ac:dyDescent="0.3">
      <c r="T334" s="273"/>
      <c r="U334" s="274"/>
      <c r="V334" s="275"/>
    </row>
    <row r="335" spans="20:22" ht="14.55" x14ac:dyDescent="0.3">
      <c r="T335" s="273"/>
      <c r="U335" s="274"/>
      <c r="V335" s="275"/>
    </row>
    <row r="336" spans="20:22" ht="14.55" x14ac:dyDescent="0.3">
      <c r="T336" s="273"/>
      <c r="U336" s="274"/>
      <c r="V336" s="275"/>
    </row>
    <row r="337" spans="20:22" ht="14.55" x14ac:dyDescent="0.3">
      <c r="T337" s="273"/>
      <c r="U337" s="274"/>
      <c r="V337" s="275"/>
    </row>
    <row r="338" spans="20:22" ht="14.55" x14ac:dyDescent="0.3">
      <c r="T338" s="273"/>
      <c r="U338" s="274"/>
      <c r="V338" s="275"/>
    </row>
    <row r="339" spans="20:22" ht="14.55" x14ac:dyDescent="0.3">
      <c r="T339" s="273"/>
      <c r="U339" s="274"/>
      <c r="V339" s="275"/>
    </row>
    <row r="340" spans="20:22" ht="14.55" x14ac:dyDescent="0.3">
      <c r="T340" s="273"/>
      <c r="U340" s="274"/>
      <c r="V340" s="275"/>
    </row>
    <row r="341" spans="20:22" ht="14.55" x14ac:dyDescent="0.3">
      <c r="T341" s="273"/>
      <c r="U341" s="274"/>
      <c r="V341" s="275"/>
    </row>
    <row r="342" spans="20:22" ht="14.55" x14ac:dyDescent="0.3">
      <c r="T342" s="273"/>
      <c r="U342" s="274"/>
      <c r="V342" s="275"/>
    </row>
    <row r="343" spans="20:22" ht="14.55" x14ac:dyDescent="0.3">
      <c r="T343" s="273"/>
      <c r="U343" s="274"/>
      <c r="V343" s="275"/>
    </row>
    <row r="344" spans="20:22" ht="14.55" x14ac:dyDescent="0.3">
      <c r="T344" s="273"/>
      <c r="U344" s="274"/>
      <c r="V344" s="275"/>
    </row>
    <row r="345" spans="20:22" ht="14.55" x14ac:dyDescent="0.3">
      <c r="T345" s="273"/>
      <c r="U345" s="274"/>
      <c r="V345" s="275"/>
    </row>
    <row r="346" spans="20:22" ht="14.55" x14ac:dyDescent="0.3">
      <c r="T346" s="273"/>
      <c r="U346" s="274"/>
      <c r="V346" s="275"/>
    </row>
    <row r="347" spans="20:22" ht="14.55" x14ac:dyDescent="0.3">
      <c r="T347" s="273"/>
      <c r="U347" s="274"/>
      <c r="V347" s="275"/>
    </row>
    <row r="348" spans="20:22" ht="14.55" x14ac:dyDescent="0.3">
      <c r="T348" s="273"/>
      <c r="U348" s="274"/>
      <c r="V348" s="275"/>
    </row>
    <row r="349" spans="20:22" ht="14.55" x14ac:dyDescent="0.3">
      <c r="T349" s="273"/>
      <c r="U349" s="274"/>
      <c r="V349" s="275"/>
    </row>
    <row r="350" spans="20:22" ht="14.55" x14ac:dyDescent="0.3">
      <c r="T350" s="273"/>
      <c r="U350" s="274"/>
      <c r="V350" s="275"/>
    </row>
    <row r="351" spans="20:22" ht="14.55" x14ac:dyDescent="0.3">
      <c r="T351" s="273"/>
      <c r="U351" s="274"/>
      <c r="V351" s="275"/>
    </row>
    <row r="352" spans="20:22" ht="14.55" x14ac:dyDescent="0.3">
      <c r="T352" s="273"/>
      <c r="U352" s="274"/>
      <c r="V352" s="275"/>
    </row>
    <row r="353" spans="20:22" ht="14.55" x14ac:dyDescent="0.3">
      <c r="T353" s="273"/>
      <c r="U353" s="274"/>
      <c r="V353" s="275"/>
    </row>
    <row r="354" spans="20:22" ht="14.55" x14ac:dyDescent="0.3">
      <c r="T354" s="273"/>
      <c r="U354" s="274"/>
      <c r="V354" s="275"/>
    </row>
    <row r="355" spans="20:22" ht="14.55" x14ac:dyDescent="0.3">
      <c r="T355" s="273"/>
      <c r="U355" s="274"/>
      <c r="V355" s="275"/>
    </row>
    <row r="356" spans="20:22" ht="14.55" x14ac:dyDescent="0.3">
      <c r="T356" s="273"/>
      <c r="U356" s="274"/>
      <c r="V356" s="275"/>
    </row>
    <row r="357" spans="20:22" ht="14.55" x14ac:dyDescent="0.3">
      <c r="T357" s="273"/>
      <c r="U357" s="274"/>
      <c r="V357" s="275"/>
    </row>
    <row r="358" spans="20:22" ht="14.55" x14ac:dyDescent="0.3">
      <c r="T358" s="273"/>
      <c r="U358" s="274"/>
      <c r="V358" s="275"/>
    </row>
    <row r="359" spans="20:22" ht="14.55" x14ac:dyDescent="0.3">
      <c r="T359" s="273"/>
      <c r="U359" s="274"/>
      <c r="V359" s="275"/>
    </row>
    <row r="360" spans="20:22" ht="14.55" x14ac:dyDescent="0.3">
      <c r="T360" s="273"/>
      <c r="U360" s="274"/>
      <c r="V360" s="275"/>
    </row>
    <row r="361" spans="20:22" ht="14.55" x14ac:dyDescent="0.3">
      <c r="T361" s="273"/>
      <c r="U361" s="274"/>
      <c r="V361" s="275"/>
    </row>
    <row r="362" spans="20:22" ht="14.55" x14ac:dyDescent="0.3">
      <c r="T362" s="273"/>
      <c r="U362" s="274"/>
      <c r="V362" s="275"/>
    </row>
    <row r="363" spans="20:22" ht="14.55" x14ac:dyDescent="0.3">
      <c r="T363" s="273"/>
      <c r="U363" s="274"/>
      <c r="V363" s="275"/>
    </row>
    <row r="364" spans="20:22" ht="14.55" x14ac:dyDescent="0.3">
      <c r="T364" s="273"/>
      <c r="U364" s="274"/>
      <c r="V364" s="275"/>
    </row>
    <row r="365" spans="20:22" ht="14.55" x14ac:dyDescent="0.3">
      <c r="T365" s="273"/>
      <c r="U365" s="274"/>
      <c r="V365" s="275"/>
    </row>
    <row r="366" spans="20:22" ht="14.55" x14ac:dyDescent="0.3">
      <c r="T366" s="273"/>
      <c r="U366" s="274"/>
      <c r="V366" s="275"/>
    </row>
    <row r="367" spans="20:22" ht="14.55" x14ac:dyDescent="0.3">
      <c r="T367" s="273"/>
      <c r="U367" s="274"/>
      <c r="V367" s="275"/>
    </row>
    <row r="368" spans="20:22" ht="14.55" x14ac:dyDescent="0.3">
      <c r="T368" s="273"/>
      <c r="U368" s="274"/>
      <c r="V368" s="275"/>
    </row>
    <row r="369" spans="20:22" ht="14.55" x14ac:dyDescent="0.3">
      <c r="T369" s="273"/>
      <c r="U369" s="274"/>
      <c r="V369" s="275"/>
    </row>
    <row r="370" spans="20:22" ht="14.55" x14ac:dyDescent="0.3">
      <c r="T370" s="273"/>
      <c r="U370" s="274"/>
      <c r="V370" s="275"/>
    </row>
    <row r="371" spans="20:22" ht="14.55" x14ac:dyDescent="0.3">
      <c r="T371" s="273"/>
      <c r="U371" s="274"/>
      <c r="V371" s="275"/>
    </row>
    <row r="372" spans="20:22" ht="14.55" x14ac:dyDescent="0.3">
      <c r="T372" s="273"/>
      <c r="U372" s="274"/>
      <c r="V372" s="275"/>
    </row>
    <row r="373" spans="20:22" ht="14.55" x14ac:dyDescent="0.3">
      <c r="T373" s="273"/>
      <c r="U373" s="274"/>
      <c r="V373" s="275"/>
    </row>
    <row r="374" spans="20:22" ht="14.55" x14ac:dyDescent="0.3">
      <c r="T374" s="273"/>
      <c r="U374" s="274"/>
      <c r="V374" s="275"/>
    </row>
    <row r="375" spans="20:22" ht="14.55" x14ac:dyDescent="0.3">
      <c r="T375" s="273"/>
      <c r="U375" s="274"/>
      <c r="V375" s="275"/>
    </row>
    <row r="376" spans="20:22" ht="14.55" x14ac:dyDescent="0.3">
      <c r="T376" s="273"/>
      <c r="U376" s="274"/>
      <c r="V376" s="275"/>
    </row>
    <row r="377" spans="20:22" ht="14.55" x14ac:dyDescent="0.3">
      <c r="T377" s="273"/>
      <c r="U377" s="274"/>
      <c r="V377" s="275"/>
    </row>
    <row r="378" spans="20:22" ht="14.55" x14ac:dyDescent="0.3">
      <c r="T378" s="273"/>
      <c r="U378" s="274"/>
      <c r="V378" s="275"/>
    </row>
    <row r="379" spans="20:22" ht="14.55" x14ac:dyDescent="0.3">
      <c r="T379" s="273"/>
      <c r="U379" s="274"/>
      <c r="V379" s="275"/>
    </row>
    <row r="380" spans="20:22" ht="14.55" x14ac:dyDescent="0.3">
      <c r="T380" s="273"/>
      <c r="U380" s="274"/>
      <c r="V380" s="275"/>
    </row>
    <row r="381" spans="20:22" ht="14.55" x14ac:dyDescent="0.3">
      <c r="T381" s="273"/>
      <c r="U381" s="274"/>
      <c r="V381" s="275"/>
    </row>
    <row r="382" spans="20:22" ht="14.55" x14ac:dyDescent="0.3">
      <c r="T382" s="273"/>
      <c r="U382" s="274"/>
      <c r="V382" s="275"/>
    </row>
    <row r="383" spans="20:22" ht="14.55" x14ac:dyDescent="0.3">
      <c r="T383" s="273"/>
      <c r="U383" s="274"/>
      <c r="V383" s="275"/>
    </row>
    <row r="384" spans="20:22" ht="14.55" x14ac:dyDescent="0.3">
      <c r="T384" s="273"/>
      <c r="U384" s="274"/>
      <c r="V384" s="275"/>
    </row>
    <row r="385" spans="20:22" ht="14.55" x14ac:dyDescent="0.3">
      <c r="T385" s="273"/>
      <c r="U385" s="274"/>
      <c r="V385" s="275"/>
    </row>
    <row r="386" spans="20:22" ht="14.55" x14ac:dyDescent="0.3">
      <c r="T386" s="273"/>
      <c r="U386" s="274"/>
      <c r="V386" s="275"/>
    </row>
    <row r="387" spans="20:22" ht="14.55" x14ac:dyDescent="0.3">
      <c r="T387" s="273"/>
      <c r="U387" s="274"/>
      <c r="V387" s="275"/>
    </row>
    <row r="388" spans="20:22" ht="14.55" x14ac:dyDescent="0.3">
      <c r="T388" s="273"/>
      <c r="U388" s="274"/>
      <c r="V388" s="275"/>
    </row>
    <row r="389" spans="20:22" ht="14.55" x14ac:dyDescent="0.3">
      <c r="T389" s="273"/>
      <c r="U389" s="274"/>
      <c r="V389" s="275"/>
    </row>
    <row r="390" spans="20:22" ht="14.55" x14ac:dyDescent="0.3">
      <c r="T390" s="273"/>
      <c r="U390" s="274"/>
      <c r="V390" s="275"/>
    </row>
    <row r="391" spans="20:22" ht="14.55" x14ac:dyDescent="0.3">
      <c r="T391" s="273"/>
      <c r="U391" s="274"/>
      <c r="V391" s="275"/>
    </row>
    <row r="392" spans="20:22" ht="14.55" x14ac:dyDescent="0.3">
      <c r="T392" s="273"/>
      <c r="U392" s="274"/>
      <c r="V392" s="275"/>
    </row>
    <row r="393" spans="20:22" ht="14.55" x14ac:dyDescent="0.3">
      <c r="T393" s="273"/>
      <c r="U393" s="274"/>
      <c r="V393" s="275"/>
    </row>
    <row r="394" spans="20:22" ht="14.55" x14ac:dyDescent="0.3">
      <c r="T394" s="273"/>
      <c r="U394" s="274"/>
      <c r="V394" s="275"/>
    </row>
    <row r="395" spans="20:22" ht="14.55" x14ac:dyDescent="0.3">
      <c r="T395" s="273"/>
      <c r="U395" s="274"/>
      <c r="V395" s="275"/>
    </row>
    <row r="396" spans="20:22" ht="14.55" x14ac:dyDescent="0.3">
      <c r="T396" s="273"/>
      <c r="U396" s="274"/>
      <c r="V396" s="275"/>
    </row>
    <row r="397" spans="20:22" ht="14.55" x14ac:dyDescent="0.3">
      <c r="T397" s="273"/>
      <c r="U397" s="274"/>
      <c r="V397" s="275"/>
    </row>
    <row r="398" spans="20:22" ht="14.55" x14ac:dyDescent="0.3">
      <c r="T398" s="273"/>
      <c r="U398" s="274"/>
      <c r="V398" s="275"/>
    </row>
    <row r="399" spans="20:22" ht="14.55" x14ac:dyDescent="0.3">
      <c r="T399" s="273"/>
      <c r="U399" s="274"/>
      <c r="V399" s="275"/>
    </row>
    <row r="400" spans="20:22" ht="14.55" x14ac:dyDescent="0.3">
      <c r="T400" s="273"/>
      <c r="U400" s="274"/>
      <c r="V400" s="275"/>
    </row>
    <row r="401" spans="20:22" ht="14.55" x14ac:dyDescent="0.3">
      <c r="T401" s="273"/>
      <c r="U401" s="274"/>
      <c r="V401" s="275"/>
    </row>
    <row r="402" spans="20:22" ht="14.55" x14ac:dyDescent="0.3">
      <c r="T402" s="273"/>
      <c r="U402" s="274"/>
      <c r="V402" s="275"/>
    </row>
    <row r="403" spans="20:22" ht="14.55" x14ac:dyDescent="0.3">
      <c r="T403" s="273"/>
      <c r="U403" s="274"/>
      <c r="V403" s="275"/>
    </row>
    <row r="404" spans="20:22" ht="14.55" x14ac:dyDescent="0.3">
      <c r="T404" s="273"/>
      <c r="U404" s="274"/>
      <c r="V404" s="275"/>
    </row>
    <row r="405" spans="20:22" ht="14.55" x14ac:dyDescent="0.3">
      <c r="T405" s="273"/>
      <c r="U405" s="274"/>
      <c r="V405" s="275"/>
    </row>
    <row r="406" spans="20:22" ht="14.55" x14ac:dyDescent="0.3">
      <c r="T406" s="273"/>
      <c r="U406" s="274"/>
      <c r="V406" s="275"/>
    </row>
    <row r="407" spans="20:22" ht="14.55" x14ac:dyDescent="0.3">
      <c r="T407" s="273"/>
      <c r="U407" s="274"/>
      <c r="V407" s="275"/>
    </row>
    <row r="408" spans="20:22" ht="14.55" x14ac:dyDescent="0.3">
      <c r="T408" s="273"/>
      <c r="U408" s="274"/>
      <c r="V408" s="275"/>
    </row>
    <row r="409" spans="20:22" ht="14.55" x14ac:dyDescent="0.3">
      <c r="T409" s="273"/>
      <c r="U409" s="274"/>
      <c r="V409" s="275"/>
    </row>
    <row r="410" spans="20:22" ht="14.55" x14ac:dyDescent="0.3">
      <c r="T410" s="273"/>
      <c r="U410" s="274"/>
      <c r="V410" s="275"/>
    </row>
    <row r="411" spans="20:22" ht="14.55" x14ac:dyDescent="0.3">
      <c r="T411" s="273"/>
      <c r="U411" s="274"/>
      <c r="V411" s="275"/>
    </row>
    <row r="412" spans="20:22" ht="14.55" x14ac:dyDescent="0.3">
      <c r="T412" s="273"/>
      <c r="U412" s="274"/>
      <c r="V412" s="275"/>
    </row>
    <row r="413" spans="20:22" ht="14.55" x14ac:dyDescent="0.3">
      <c r="T413" s="273"/>
      <c r="U413" s="274"/>
      <c r="V413" s="275"/>
    </row>
    <row r="414" spans="20:22" ht="14.55" x14ac:dyDescent="0.3">
      <c r="T414" s="273"/>
      <c r="U414" s="274"/>
      <c r="V414" s="275"/>
    </row>
    <row r="415" spans="20:22" ht="14.55" x14ac:dyDescent="0.3">
      <c r="T415" s="273"/>
      <c r="U415" s="274"/>
      <c r="V415" s="275"/>
    </row>
    <row r="416" spans="20:22" ht="14.55" x14ac:dyDescent="0.3">
      <c r="T416" s="273"/>
      <c r="U416" s="274"/>
      <c r="V416" s="275"/>
    </row>
    <row r="417" spans="20:22" ht="14.55" x14ac:dyDescent="0.3">
      <c r="T417" s="273"/>
      <c r="U417" s="274"/>
      <c r="V417" s="275"/>
    </row>
    <row r="418" spans="20:22" ht="14.55" x14ac:dyDescent="0.3">
      <c r="T418" s="273"/>
      <c r="U418" s="274"/>
      <c r="V418" s="275"/>
    </row>
    <row r="419" spans="20:22" ht="14.55" x14ac:dyDescent="0.3">
      <c r="T419" s="273"/>
      <c r="U419" s="274"/>
      <c r="V419" s="275"/>
    </row>
    <row r="420" spans="20:22" ht="14.55" x14ac:dyDescent="0.3">
      <c r="T420" s="273"/>
      <c r="U420" s="274"/>
      <c r="V420" s="275"/>
    </row>
    <row r="421" spans="20:22" ht="14.55" x14ac:dyDescent="0.3">
      <c r="T421" s="273"/>
      <c r="U421" s="274"/>
      <c r="V421" s="275"/>
    </row>
    <row r="422" spans="20:22" ht="14.55" x14ac:dyDescent="0.3">
      <c r="T422" s="273"/>
      <c r="U422" s="274"/>
      <c r="V422" s="275"/>
    </row>
    <row r="423" spans="20:22" ht="14.55" x14ac:dyDescent="0.3">
      <c r="T423" s="273"/>
      <c r="U423" s="274"/>
      <c r="V423" s="275"/>
    </row>
    <row r="424" spans="20:22" ht="14.55" x14ac:dyDescent="0.3">
      <c r="T424" s="273"/>
      <c r="U424" s="274"/>
      <c r="V424" s="275"/>
    </row>
    <row r="425" spans="20:22" ht="14.55" x14ac:dyDescent="0.3">
      <c r="T425" s="273"/>
      <c r="U425" s="274"/>
      <c r="V425" s="275"/>
    </row>
    <row r="426" spans="20:22" ht="14.55" x14ac:dyDescent="0.3">
      <c r="T426" s="273"/>
      <c r="U426" s="274"/>
      <c r="V426" s="275"/>
    </row>
    <row r="427" spans="20:22" ht="14.55" x14ac:dyDescent="0.3">
      <c r="T427" s="273"/>
      <c r="U427" s="274"/>
      <c r="V427" s="275"/>
    </row>
    <row r="428" spans="20:22" ht="14.55" x14ac:dyDescent="0.3">
      <c r="T428" s="273"/>
      <c r="U428" s="274"/>
      <c r="V428" s="275"/>
    </row>
    <row r="429" spans="20:22" ht="14.55" x14ac:dyDescent="0.3">
      <c r="T429" s="273"/>
      <c r="U429" s="274"/>
      <c r="V429" s="275"/>
    </row>
    <row r="430" spans="20:22" ht="14.55" x14ac:dyDescent="0.3">
      <c r="T430" s="273"/>
      <c r="U430" s="274"/>
      <c r="V430" s="275"/>
    </row>
    <row r="431" spans="20:22" ht="14.55" x14ac:dyDescent="0.3">
      <c r="T431" s="273"/>
      <c r="U431" s="274"/>
      <c r="V431" s="275"/>
    </row>
    <row r="432" spans="20:22" ht="14.55" x14ac:dyDescent="0.3">
      <c r="T432" s="273"/>
      <c r="U432" s="274"/>
      <c r="V432" s="275"/>
    </row>
    <row r="433" spans="20:22" ht="14.55" x14ac:dyDescent="0.3">
      <c r="T433" s="273"/>
      <c r="U433" s="274"/>
      <c r="V433" s="275"/>
    </row>
    <row r="434" spans="20:22" ht="14.55" x14ac:dyDescent="0.3">
      <c r="T434" s="273"/>
      <c r="U434" s="274"/>
      <c r="V434" s="275"/>
    </row>
    <row r="435" spans="20:22" ht="14.55" x14ac:dyDescent="0.3">
      <c r="T435" s="273"/>
      <c r="U435" s="274"/>
      <c r="V435" s="275"/>
    </row>
    <row r="436" spans="20:22" ht="14.55" x14ac:dyDescent="0.3">
      <c r="T436" s="273"/>
      <c r="U436" s="274"/>
      <c r="V436" s="275"/>
    </row>
    <row r="437" spans="20:22" ht="14.55" x14ac:dyDescent="0.3">
      <c r="T437" s="273"/>
      <c r="U437" s="274"/>
      <c r="V437" s="275"/>
    </row>
    <row r="438" spans="20:22" ht="14.55" x14ac:dyDescent="0.3">
      <c r="T438" s="273"/>
      <c r="U438" s="274"/>
      <c r="V438" s="275"/>
    </row>
    <row r="439" spans="20:22" ht="14.55" x14ac:dyDescent="0.3">
      <c r="T439" s="273"/>
      <c r="U439" s="274"/>
      <c r="V439" s="275"/>
    </row>
    <row r="440" spans="20:22" ht="14.55" x14ac:dyDescent="0.3">
      <c r="T440" s="273"/>
      <c r="U440" s="274"/>
      <c r="V440" s="275"/>
    </row>
    <row r="441" spans="20:22" ht="14.55" x14ac:dyDescent="0.3">
      <c r="T441" s="273"/>
      <c r="U441" s="274"/>
      <c r="V441" s="275"/>
    </row>
    <row r="442" spans="20:22" ht="14.55" x14ac:dyDescent="0.3">
      <c r="T442" s="273"/>
      <c r="U442" s="274"/>
      <c r="V442" s="275"/>
    </row>
    <row r="443" spans="20:22" ht="14.55" x14ac:dyDescent="0.3">
      <c r="T443" s="273"/>
      <c r="U443" s="274"/>
      <c r="V443" s="275"/>
    </row>
    <row r="444" spans="20:22" ht="14.55" x14ac:dyDescent="0.3">
      <c r="T444" s="273"/>
      <c r="U444" s="274"/>
      <c r="V444" s="275"/>
    </row>
    <row r="445" spans="20:22" ht="14.55" x14ac:dyDescent="0.3">
      <c r="T445" s="273"/>
      <c r="U445" s="274"/>
      <c r="V445" s="275"/>
    </row>
    <row r="446" spans="20:22" ht="14.55" x14ac:dyDescent="0.3">
      <c r="T446" s="273"/>
      <c r="U446" s="274"/>
      <c r="V446" s="275"/>
    </row>
    <row r="447" spans="20:22" ht="14.55" x14ac:dyDescent="0.3">
      <c r="T447" s="273"/>
      <c r="U447" s="274"/>
      <c r="V447" s="275"/>
    </row>
    <row r="448" spans="20:22" ht="14.55" x14ac:dyDescent="0.3">
      <c r="T448" s="273"/>
      <c r="U448" s="274"/>
      <c r="V448" s="275"/>
    </row>
    <row r="449" spans="20:22" ht="14.55" x14ac:dyDescent="0.3">
      <c r="T449" s="273"/>
      <c r="U449" s="274"/>
      <c r="V449" s="275"/>
    </row>
    <row r="450" spans="20:22" ht="14.55" x14ac:dyDescent="0.3">
      <c r="T450" s="273"/>
      <c r="U450" s="274"/>
      <c r="V450" s="275"/>
    </row>
    <row r="451" spans="20:22" ht="14.55" x14ac:dyDescent="0.3">
      <c r="T451" s="273"/>
      <c r="U451" s="274"/>
      <c r="V451" s="275"/>
    </row>
    <row r="452" spans="20:22" ht="14.55" x14ac:dyDescent="0.3">
      <c r="T452" s="273"/>
      <c r="U452" s="274"/>
      <c r="V452" s="275"/>
    </row>
    <row r="453" spans="20:22" ht="14.55" x14ac:dyDescent="0.3">
      <c r="T453" s="273"/>
      <c r="U453" s="274"/>
      <c r="V453" s="275"/>
    </row>
    <row r="454" spans="20:22" ht="14.55" x14ac:dyDescent="0.3">
      <c r="T454" s="273"/>
      <c r="U454" s="274"/>
      <c r="V454" s="275"/>
    </row>
    <row r="455" spans="20:22" ht="14.55" x14ac:dyDescent="0.3">
      <c r="T455" s="273"/>
      <c r="U455" s="274"/>
      <c r="V455" s="275"/>
    </row>
    <row r="456" spans="20:22" ht="14.55" x14ac:dyDescent="0.3">
      <c r="T456" s="273"/>
      <c r="U456" s="274"/>
      <c r="V456" s="275"/>
    </row>
    <row r="457" spans="20:22" ht="14.55" x14ac:dyDescent="0.3">
      <c r="T457" s="273"/>
      <c r="U457" s="274"/>
      <c r="V457" s="275"/>
    </row>
    <row r="458" spans="20:22" ht="14.55" x14ac:dyDescent="0.3">
      <c r="T458" s="273"/>
      <c r="U458" s="274"/>
      <c r="V458" s="275"/>
    </row>
    <row r="459" spans="20:22" ht="14.55" x14ac:dyDescent="0.3">
      <c r="T459" s="273"/>
      <c r="U459" s="274"/>
      <c r="V459" s="275"/>
    </row>
    <row r="460" spans="20:22" ht="14.55" x14ac:dyDescent="0.3">
      <c r="T460" s="273"/>
      <c r="U460" s="274"/>
      <c r="V460" s="275"/>
    </row>
    <row r="461" spans="20:22" ht="14.55" x14ac:dyDescent="0.3">
      <c r="T461" s="273"/>
      <c r="U461" s="274"/>
      <c r="V461" s="275"/>
    </row>
    <row r="462" spans="20:22" ht="14.55" x14ac:dyDescent="0.3">
      <c r="T462" s="273"/>
      <c r="U462" s="274"/>
      <c r="V462" s="275"/>
    </row>
    <row r="463" spans="20:22" ht="14.55" x14ac:dyDescent="0.3">
      <c r="T463" s="273"/>
      <c r="U463" s="274"/>
      <c r="V463" s="275"/>
    </row>
    <row r="464" spans="20:22" ht="14.55" x14ac:dyDescent="0.3">
      <c r="T464" s="273"/>
      <c r="U464" s="274"/>
      <c r="V464" s="275"/>
    </row>
    <row r="465" spans="20:22" ht="14.55" x14ac:dyDescent="0.3">
      <c r="T465" s="273"/>
      <c r="U465" s="274"/>
      <c r="V465" s="275"/>
    </row>
    <row r="466" spans="20:22" ht="14.55" x14ac:dyDescent="0.3">
      <c r="T466" s="273"/>
      <c r="U466" s="274"/>
      <c r="V466" s="275"/>
    </row>
    <row r="467" spans="20:22" ht="14.55" x14ac:dyDescent="0.3">
      <c r="T467" s="273"/>
      <c r="U467" s="274"/>
      <c r="V467" s="275"/>
    </row>
    <row r="468" spans="20:22" ht="14.55" x14ac:dyDescent="0.3">
      <c r="T468" s="273"/>
      <c r="U468" s="274"/>
      <c r="V468" s="275"/>
    </row>
    <row r="469" spans="20:22" ht="14.55" x14ac:dyDescent="0.3">
      <c r="T469" s="273"/>
      <c r="U469" s="274"/>
      <c r="V469" s="275"/>
    </row>
    <row r="470" spans="20:22" ht="14.55" x14ac:dyDescent="0.3">
      <c r="T470" s="273"/>
      <c r="U470" s="274"/>
      <c r="V470" s="275"/>
    </row>
    <row r="471" spans="20:22" ht="14.55" x14ac:dyDescent="0.3">
      <c r="T471" s="273"/>
      <c r="U471" s="274"/>
      <c r="V471" s="275"/>
    </row>
    <row r="472" spans="20:22" ht="14.55" x14ac:dyDescent="0.3">
      <c r="T472" s="273"/>
      <c r="U472" s="274"/>
      <c r="V472" s="275"/>
    </row>
    <row r="473" spans="20:22" ht="14.55" x14ac:dyDescent="0.3">
      <c r="T473" s="273"/>
      <c r="U473" s="274"/>
      <c r="V473" s="275"/>
    </row>
    <row r="474" spans="20:22" ht="14.55" x14ac:dyDescent="0.3">
      <c r="T474" s="273"/>
      <c r="U474" s="274"/>
      <c r="V474" s="275"/>
    </row>
    <row r="475" spans="20:22" ht="14.55" x14ac:dyDescent="0.3">
      <c r="T475" s="273"/>
      <c r="U475" s="274"/>
      <c r="V475" s="275"/>
    </row>
    <row r="476" spans="20:22" ht="14.55" x14ac:dyDescent="0.3">
      <c r="T476" s="273"/>
      <c r="U476" s="274"/>
      <c r="V476" s="275"/>
    </row>
    <row r="477" spans="20:22" ht="14.55" x14ac:dyDescent="0.3">
      <c r="T477" s="273"/>
      <c r="U477" s="274"/>
      <c r="V477" s="275"/>
    </row>
    <row r="478" spans="20:22" ht="14.55" x14ac:dyDescent="0.3">
      <c r="T478" s="273"/>
      <c r="U478" s="274"/>
      <c r="V478" s="275"/>
    </row>
    <row r="479" spans="20:22" ht="14.55" x14ac:dyDescent="0.3">
      <c r="T479" s="273"/>
      <c r="U479" s="274"/>
      <c r="V479" s="275"/>
    </row>
    <row r="480" spans="20:22" ht="14.55" x14ac:dyDescent="0.3">
      <c r="T480" s="273"/>
      <c r="U480" s="274"/>
      <c r="V480" s="275"/>
    </row>
    <row r="481" spans="20:22" ht="14.55" x14ac:dyDescent="0.3">
      <c r="T481" s="273"/>
      <c r="U481" s="274"/>
      <c r="V481" s="275"/>
    </row>
    <row r="482" spans="20:22" ht="14.55" x14ac:dyDescent="0.3">
      <c r="T482" s="273"/>
      <c r="U482" s="274"/>
      <c r="V482" s="275"/>
    </row>
    <row r="483" spans="20:22" ht="14.55" x14ac:dyDescent="0.3">
      <c r="T483" s="273"/>
      <c r="U483" s="274"/>
      <c r="V483" s="275"/>
    </row>
    <row r="484" spans="20:22" ht="14.55" x14ac:dyDescent="0.3">
      <c r="T484" s="273"/>
      <c r="U484" s="274"/>
      <c r="V484" s="275"/>
    </row>
    <row r="485" spans="20:22" ht="14.55" x14ac:dyDescent="0.3">
      <c r="T485" s="273"/>
      <c r="U485" s="274"/>
      <c r="V485" s="275"/>
    </row>
    <row r="486" spans="20:22" ht="14.55" x14ac:dyDescent="0.3">
      <c r="T486" s="273"/>
      <c r="U486" s="274"/>
      <c r="V486" s="275"/>
    </row>
    <row r="487" spans="20:22" ht="14.55" x14ac:dyDescent="0.3">
      <c r="T487" s="273"/>
      <c r="U487" s="274"/>
      <c r="V487" s="275"/>
    </row>
    <row r="488" spans="20:22" ht="14.55" x14ac:dyDescent="0.3">
      <c r="T488" s="273"/>
      <c r="U488" s="274"/>
      <c r="V488" s="275"/>
    </row>
    <row r="489" spans="20:22" ht="14.55" x14ac:dyDescent="0.3">
      <c r="T489" s="273"/>
      <c r="U489" s="274"/>
      <c r="V489" s="275"/>
    </row>
    <row r="490" spans="20:22" ht="14.55" x14ac:dyDescent="0.3">
      <c r="T490" s="273"/>
      <c r="U490" s="274"/>
      <c r="V490" s="275"/>
    </row>
    <row r="491" spans="20:22" ht="14.55" x14ac:dyDescent="0.3">
      <c r="T491" s="273"/>
      <c r="U491" s="274"/>
      <c r="V491" s="275"/>
    </row>
    <row r="492" spans="20:22" ht="14.55" x14ac:dyDescent="0.3">
      <c r="T492" s="273"/>
      <c r="U492" s="274"/>
      <c r="V492" s="275"/>
    </row>
    <row r="493" spans="20:22" ht="14.55" x14ac:dyDescent="0.3">
      <c r="T493" s="273"/>
      <c r="U493" s="274"/>
      <c r="V493" s="275"/>
    </row>
    <row r="494" spans="20:22" ht="14.55" x14ac:dyDescent="0.3">
      <c r="T494" s="273"/>
      <c r="U494" s="274"/>
      <c r="V494" s="275"/>
    </row>
    <row r="495" spans="20:22" ht="14.55" x14ac:dyDescent="0.3">
      <c r="T495" s="273"/>
      <c r="U495" s="274"/>
      <c r="V495" s="275"/>
    </row>
    <row r="496" spans="20:22" ht="14.55" x14ac:dyDescent="0.3">
      <c r="T496" s="273"/>
      <c r="U496" s="274"/>
      <c r="V496" s="275"/>
    </row>
    <row r="497" spans="20:22" ht="14.55" x14ac:dyDescent="0.3">
      <c r="T497" s="273"/>
      <c r="U497" s="274"/>
      <c r="V497" s="275"/>
    </row>
    <row r="498" spans="20:22" ht="14.55" x14ac:dyDescent="0.3">
      <c r="T498" s="273"/>
      <c r="U498" s="274"/>
      <c r="V498" s="275"/>
    </row>
    <row r="499" spans="20:22" ht="14.55" x14ac:dyDescent="0.3">
      <c r="T499" s="273"/>
      <c r="U499" s="274"/>
      <c r="V499" s="275"/>
    </row>
    <row r="500" spans="20:22" ht="14.55" x14ac:dyDescent="0.3">
      <c r="T500" s="273"/>
      <c r="U500" s="274"/>
      <c r="V500" s="275"/>
    </row>
    <row r="501" spans="20:22" ht="14.55" x14ac:dyDescent="0.3">
      <c r="T501" s="273"/>
      <c r="U501" s="274"/>
      <c r="V501" s="275"/>
    </row>
    <row r="502" spans="20:22" ht="14.55" x14ac:dyDescent="0.3">
      <c r="T502" s="273"/>
      <c r="U502" s="274"/>
      <c r="V502" s="275"/>
    </row>
    <row r="503" spans="20:22" ht="14.55" x14ac:dyDescent="0.3">
      <c r="T503" s="273"/>
      <c r="U503" s="274"/>
      <c r="V503" s="275"/>
    </row>
    <row r="504" spans="20:22" ht="14.55" x14ac:dyDescent="0.3">
      <c r="T504" s="273"/>
      <c r="U504" s="274"/>
      <c r="V504" s="275"/>
    </row>
    <row r="505" spans="20:22" ht="14.55" x14ac:dyDescent="0.3">
      <c r="T505" s="273"/>
      <c r="U505" s="274"/>
      <c r="V505" s="275"/>
    </row>
    <row r="506" spans="20:22" ht="14.55" x14ac:dyDescent="0.3">
      <c r="T506" s="273"/>
      <c r="U506" s="274"/>
      <c r="V506" s="275"/>
    </row>
    <row r="507" spans="20:22" ht="14.55" x14ac:dyDescent="0.3">
      <c r="T507" s="273"/>
      <c r="U507" s="274"/>
      <c r="V507" s="275"/>
    </row>
    <row r="508" spans="20:22" ht="14.55" x14ac:dyDescent="0.3">
      <c r="T508" s="273"/>
      <c r="U508" s="274"/>
      <c r="V508" s="275"/>
    </row>
    <row r="509" spans="20:22" ht="14.55" x14ac:dyDescent="0.3">
      <c r="T509" s="273"/>
      <c r="U509" s="274"/>
      <c r="V509" s="275"/>
    </row>
    <row r="510" spans="20:22" ht="14.55" x14ac:dyDescent="0.3">
      <c r="T510" s="273"/>
      <c r="U510" s="274"/>
      <c r="V510" s="275"/>
    </row>
    <row r="511" spans="20:22" ht="14.55" x14ac:dyDescent="0.3">
      <c r="T511" s="273"/>
      <c r="U511" s="274"/>
      <c r="V511" s="275"/>
    </row>
    <row r="512" spans="20:22" ht="14.55" x14ac:dyDescent="0.3">
      <c r="T512" s="273"/>
      <c r="U512" s="274"/>
      <c r="V512" s="275"/>
    </row>
    <row r="513" spans="20:22" ht="14.55" x14ac:dyDescent="0.3">
      <c r="T513" s="273"/>
      <c r="U513" s="274"/>
      <c r="V513" s="275"/>
    </row>
    <row r="514" spans="20:22" ht="14.55" x14ac:dyDescent="0.3">
      <c r="T514" s="273"/>
      <c r="U514" s="274"/>
      <c r="V514" s="275"/>
    </row>
    <row r="515" spans="20:22" ht="14.55" x14ac:dyDescent="0.3">
      <c r="T515" s="273"/>
      <c r="U515" s="274"/>
      <c r="V515" s="275"/>
    </row>
    <row r="516" spans="20:22" ht="14.55" x14ac:dyDescent="0.3">
      <c r="T516" s="273"/>
      <c r="U516" s="274"/>
      <c r="V516" s="275"/>
    </row>
    <row r="517" spans="20:22" ht="14.55" x14ac:dyDescent="0.3">
      <c r="T517" s="273"/>
      <c r="U517" s="274"/>
      <c r="V517" s="275"/>
    </row>
    <row r="518" spans="20:22" ht="14.55" x14ac:dyDescent="0.3">
      <c r="T518" s="273"/>
      <c r="U518" s="274"/>
      <c r="V518" s="275"/>
    </row>
    <row r="519" spans="20:22" ht="14.55" x14ac:dyDescent="0.3">
      <c r="T519" s="273"/>
      <c r="U519" s="274"/>
      <c r="V519" s="275"/>
    </row>
    <row r="520" spans="20:22" ht="14.55" x14ac:dyDescent="0.3">
      <c r="T520" s="273"/>
      <c r="U520" s="274"/>
      <c r="V520" s="275"/>
    </row>
    <row r="521" spans="20:22" ht="14.55" x14ac:dyDescent="0.3">
      <c r="T521" s="273"/>
      <c r="U521" s="274"/>
      <c r="V521" s="275"/>
    </row>
    <row r="522" spans="20:22" ht="14.55" x14ac:dyDescent="0.3">
      <c r="T522" s="273"/>
      <c r="U522" s="274"/>
      <c r="V522" s="275"/>
    </row>
    <row r="523" spans="20:22" ht="14.55" x14ac:dyDescent="0.3">
      <c r="T523" s="273"/>
      <c r="U523" s="274"/>
      <c r="V523" s="275"/>
    </row>
    <row r="524" spans="20:22" ht="14.55" x14ac:dyDescent="0.3">
      <c r="T524" s="273"/>
      <c r="U524" s="274"/>
      <c r="V524" s="275"/>
    </row>
    <row r="525" spans="20:22" ht="14.55" x14ac:dyDescent="0.3">
      <c r="T525" s="273"/>
      <c r="U525" s="274"/>
      <c r="V525" s="275"/>
    </row>
    <row r="526" spans="20:22" ht="14.55" x14ac:dyDescent="0.3">
      <c r="T526" s="273"/>
      <c r="U526" s="274"/>
      <c r="V526" s="275"/>
    </row>
    <row r="527" spans="20:22" ht="14.55" x14ac:dyDescent="0.3">
      <c r="T527" s="273"/>
      <c r="U527" s="274"/>
      <c r="V527" s="275"/>
    </row>
    <row r="528" spans="20:22" ht="14.55" x14ac:dyDescent="0.3">
      <c r="T528" s="273"/>
      <c r="U528" s="274"/>
      <c r="V528" s="275"/>
    </row>
    <row r="529" spans="20:22" ht="14.55" x14ac:dyDescent="0.3">
      <c r="T529" s="273"/>
      <c r="U529" s="274"/>
      <c r="V529" s="275"/>
    </row>
    <row r="530" spans="20:22" ht="14.55" x14ac:dyDescent="0.3">
      <c r="T530" s="273"/>
      <c r="U530" s="274"/>
      <c r="V530" s="275"/>
    </row>
    <row r="531" spans="20:22" ht="14.55" x14ac:dyDescent="0.3">
      <c r="T531" s="273"/>
      <c r="U531" s="274"/>
      <c r="V531" s="275"/>
    </row>
    <row r="532" spans="20:22" ht="14.55" x14ac:dyDescent="0.3">
      <c r="T532" s="273"/>
      <c r="U532" s="274"/>
      <c r="V532" s="275"/>
    </row>
    <row r="533" spans="20:22" ht="14.55" x14ac:dyDescent="0.3">
      <c r="T533" s="273"/>
      <c r="U533" s="274"/>
      <c r="V533" s="275"/>
    </row>
    <row r="534" spans="20:22" ht="14.55" x14ac:dyDescent="0.3">
      <c r="T534" s="273"/>
      <c r="U534" s="274"/>
      <c r="V534" s="275"/>
    </row>
    <row r="535" spans="20:22" ht="14.55" x14ac:dyDescent="0.3">
      <c r="T535" s="273"/>
      <c r="U535" s="274"/>
      <c r="V535" s="275"/>
    </row>
    <row r="536" spans="20:22" ht="14.55" x14ac:dyDescent="0.3">
      <c r="T536" s="273"/>
      <c r="U536" s="274"/>
      <c r="V536" s="275"/>
    </row>
    <row r="537" spans="20:22" ht="14.55" x14ac:dyDescent="0.3">
      <c r="T537" s="273"/>
      <c r="U537" s="274"/>
      <c r="V537" s="275"/>
    </row>
    <row r="538" spans="20:22" ht="14.55" x14ac:dyDescent="0.3">
      <c r="T538" s="273"/>
      <c r="U538" s="274"/>
      <c r="V538" s="275"/>
    </row>
    <row r="539" spans="20:22" ht="14.55" x14ac:dyDescent="0.3">
      <c r="T539" s="273"/>
      <c r="U539" s="274"/>
      <c r="V539" s="275"/>
    </row>
    <row r="540" spans="20:22" ht="14.55" x14ac:dyDescent="0.3">
      <c r="T540" s="273"/>
      <c r="U540" s="274"/>
      <c r="V540" s="275"/>
    </row>
    <row r="541" spans="20:22" ht="14.55" x14ac:dyDescent="0.3">
      <c r="T541" s="273"/>
      <c r="U541" s="274"/>
      <c r="V541" s="275"/>
    </row>
    <row r="542" spans="20:22" ht="14.55" x14ac:dyDescent="0.3">
      <c r="T542" s="273"/>
      <c r="U542" s="274"/>
      <c r="V542" s="275"/>
    </row>
    <row r="543" spans="20:22" ht="14.55" x14ac:dyDescent="0.3">
      <c r="T543" s="273"/>
      <c r="U543" s="274"/>
      <c r="V543" s="275"/>
    </row>
    <row r="544" spans="20:22" ht="14.55" x14ac:dyDescent="0.3">
      <c r="T544" s="273"/>
      <c r="U544" s="274"/>
      <c r="V544" s="275"/>
    </row>
    <row r="545" spans="20:22" ht="14.55" x14ac:dyDescent="0.3">
      <c r="T545" s="273"/>
      <c r="U545" s="274"/>
      <c r="V545" s="275"/>
    </row>
    <row r="546" spans="20:22" ht="14.55" x14ac:dyDescent="0.3">
      <c r="T546" s="273"/>
      <c r="U546" s="274"/>
      <c r="V546" s="275"/>
    </row>
    <row r="547" spans="20:22" ht="14.55" x14ac:dyDescent="0.3">
      <c r="T547" s="273"/>
      <c r="U547" s="274"/>
      <c r="V547" s="275"/>
    </row>
    <row r="548" spans="20:22" ht="14.55" x14ac:dyDescent="0.3">
      <c r="T548" s="273"/>
      <c r="U548" s="274"/>
      <c r="V548" s="275"/>
    </row>
    <row r="549" spans="20:22" ht="14.55" x14ac:dyDescent="0.3">
      <c r="T549" s="273"/>
      <c r="U549" s="274"/>
      <c r="V549" s="275"/>
    </row>
    <row r="550" spans="20:22" ht="14.55" x14ac:dyDescent="0.3">
      <c r="T550" s="273"/>
      <c r="U550" s="274"/>
      <c r="V550" s="275"/>
    </row>
    <row r="551" spans="20:22" ht="14.55" x14ac:dyDescent="0.3">
      <c r="T551" s="273"/>
      <c r="U551" s="274"/>
      <c r="V551" s="275"/>
    </row>
    <row r="552" spans="20:22" ht="14.55" x14ac:dyDescent="0.3">
      <c r="T552" s="273"/>
      <c r="U552" s="274"/>
      <c r="V552" s="275"/>
    </row>
    <row r="553" spans="20:22" ht="14.55" x14ac:dyDescent="0.3">
      <c r="T553" s="273"/>
      <c r="U553" s="274"/>
      <c r="V553" s="275"/>
    </row>
    <row r="554" spans="20:22" ht="14.55" x14ac:dyDescent="0.3">
      <c r="T554" s="273"/>
      <c r="U554" s="274"/>
      <c r="V554" s="275"/>
    </row>
    <row r="555" spans="20:22" ht="14.55" x14ac:dyDescent="0.3">
      <c r="T555" s="273"/>
      <c r="U555" s="274"/>
      <c r="V555" s="275"/>
    </row>
    <row r="556" spans="20:22" ht="14.55" x14ac:dyDescent="0.3">
      <c r="T556" s="273"/>
      <c r="U556" s="274"/>
      <c r="V556" s="275"/>
    </row>
    <row r="557" spans="20:22" ht="14.55" x14ac:dyDescent="0.3">
      <c r="T557" s="273"/>
      <c r="U557" s="274"/>
      <c r="V557" s="275"/>
    </row>
    <row r="558" spans="20:22" ht="14.55" x14ac:dyDescent="0.3">
      <c r="T558" s="273"/>
      <c r="U558" s="274"/>
      <c r="V558" s="275"/>
    </row>
    <row r="559" spans="20:22" ht="14.55" x14ac:dyDescent="0.3">
      <c r="T559" s="273"/>
      <c r="U559" s="274"/>
      <c r="V559" s="275"/>
    </row>
    <row r="560" spans="20:22" ht="14.55" x14ac:dyDescent="0.3">
      <c r="T560" s="273"/>
      <c r="U560" s="274"/>
      <c r="V560" s="275"/>
    </row>
    <row r="561" spans="20:22" ht="14.55" x14ac:dyDescent="0.3">
      <c r="T561" s="273"/>
      <c r="U561" s="274"/>
      <c r="V561" s="275"/>
    </row>
    <row r="562" spans="20:22" ht="14.55" x14ac:dyDescent="0.3">
      <c r="T562" s="273"/>
      <c r="U562" s="274"/>
      <c r="V562" s="275"/>
    </row>
    <row r="563" spans="20:22" ht="14.55" x14ac:dyDescent="0.3">
      <c r="T563" s="273"/>
      <c r="U563" s="274"/>
      <c r="V563" s="275"/>
    </row>
    <row r="564" spans="20:22" ht="14.55" x14ac:dyDescent="0.3">
      <c r="T564" s="273"/>
      <c r="U564" s="274"/>
      <c r="V564" s="275"/>
    </row>
    <row r="565" spans="20:22" ht="14.55" x14ac:dyDescent="0.3">
      <c r="T565" s="273"/>
      <c r="U565" s="274"/>
      <c r="V565" s="275"/>
    </row>
    <row r="566" spans="20:22" ht="14.55" x14ac:dyDescent="0.3">
      <c r="T566" s="273"/>
      <c r="U566" s="274"/>
      <c r="V566" s="275"/>
    </row>
    <row r="567" spans="20:22" ht="14.55" x14ac:dyDescent="0.3">
      <c r="T567" s="273"/>
      <c r="U567" s="274"/>
      <c r="V567" s="275"/>
    </row>
    <row r="568" spans="20:22" ht="14.55" x14ac:dyDescent="0.3">
      <c r="T568" s="273"/>
      <c r="U568" s="274"/>
      <c r="V568" s="275"/>
    </row>
    <row r="569" spans="20:22" ht="14.55" x14ac:dyDescent="0.3">
      <c r="T569" s="273"/>
      <c r="U569" s="274"/>
      <c r="V569" s="275"/>
    </row>
    <row r="570" spans="20:22" ht="14.55" x14ac:dyDescent="0.3">
      <c r="T570" s="273"/>
      <c r="U570" s="274"/>
      <c r="V570" s="275"/>
    </row>
    <row r="571" spans="20:22" ht="14.55" x14ac:dyDescent="0.3">
      <c r="T571" s="273"/>
      <c r="U571" s="274"/>
      <c r="V571" s="275"/>
    </row>
    <row r="572" spans="20:22" ht="14.55" x14ac:dyDescent="0.3">
      <c r="T572" s="273"/>
      <c r="U572" s="274"/>
      <c r="V572" s="275"/>
    </row>
    <row r="573" spans="20:22" ht="14.55" x14ac:dyDescent="0.3">
      <c r="T573" s="273"/>
      <c r="U573" s="274"/>
      <c r="V573" s="275"/>
    </row>
    <row r="574" spans="20:22" ht="14.55" x14ac:dyDescent="0.3">
      <c r="T574" s="273"/>
      <c r="U574" s="274"/>
      <c r="V574" s="275"/>
    </row>
    <row r="575" spans="20:22" ht="14.55" x14ac:dyDescent="0.3">
      <c r="T575" s="273"/>
      <c r="U575" s="274"/>
      <c r="V575" s="275"/>
    </row>
    <row r="576" spans="20:22" ht="14.55" x14ac:dyDescent="0.3">
      <c r="T576" s="273"/>
      <c r="U576" s="274"/>
      <c r="V576" s="275"/>
    </row>
    <row r="577" spans="20:22" ht="14.55" x14ac:dyDescent="0.3">
      <c r="T577" s="273"/>
      <c r="U577" s="274"/>
      <c r="V577" s="275"/>
    </row>
    <row r="578" spans="20:22" ht="14.55" x14ac:dyDescent="0.3">
      <c r="T578" s="273"/>
      <c r="U578" s="274"/>
      <c r="V578" s="275"/>
    </row>
    <row r="579" spans="20:22" ht="14.55" x14ac:dyDescent="0.3">
      <c r="T579" s="273"/>
      <c r="U579" s="274"/>
      <c r="V579" s="275"/>
    </row>
    <row r="580" spans="20:22" ht="14.55" x14ac:dyDescent="0.3">
      <c r="T580" s="273"/>
      <c r="U580" s="274"/>
      <c r="V580" s="275"/>
    </row>
    <row r="581" spans="20:22" ht="14.55" x14ac:dyDescent="0.3">
      <c r="T581" s="273"/>
      <c r="U581" s="274"/>
      <c r="V581" s="275"/>
    </row>
  </sheetData>
  <sheetProtection selectLockedCells="1"/>
  <mergeCells count="102">
    <mergeCell ref="B4:B7"/>
    <mergeCell ref="D4:E4"/>
    <mergeCell ref="G4:H4"/>
    <mergeCell ref="J4:K4"/>
    <mergeCell ref="M4:N4"/>
    <mergeCell ref="P4:Q4"/>
    <mergeCell ref="D5:E5"/>
    <mergeCell ref="G5:H5"/>
    <mergeCell ref="J5:K5"/>
    <mergeCell ref="M5:N5"/>
    <mergeCell ref="K38:L38"/>
    <mergeCell ref="P5:Q5"/>
    <mergeCell ref="D7:E7"/>
    <mergeCell ref="G7:H7"/>
    <mergeCell ref="J7:K7"/>
    <mergeCell ref="M7:N7"/>
    <mergeCell ref="P7:Q7"/>
    <mergeCell ref="D31:H31"/>
    <mergeCell ref="D33:D37"/>
    <mergeCell ref="G33:G37"/>
    <mergeCell ref="G38:H38"/>
    <mergeCell ref="I38:J38"/>
    <mergeCell ref="B44:E44"/>
    <mergeCell ref="G44:H44"/>
    <mergeCell ref="G48:H48"/>
    <mergeCell ref="I48:J48"/>
    <mergeCell ref="K48:M48"/>
    <mergeCell ref="B39:E39"/>
    <mergeCell ref="G39:H39"/>
    <mergeCell ref="I39:J39"/>
    <mergeCell ref="K39:L39"/>
    <mergeCell ref="B43:E43"/>
    <mergeCell ref="G43:H43"/>
    <mergeCell ref="L68:M68"/>
    <mergeCell ref="L52:M52"/>
    <mergeCell ref="L53:M53"/>
    <mergeCell ref="L54:M54"/>
    <mergeCell ref="L55:M55"/>
    <mergeCell ref="E57:E58"/>
    <mergeCell ref="L57:M57"/>
    <mergeCell ref="L58:M58"/>
    <mergeCell ref="L59:M59"/>
    <mergeCell ref="L60:M60"/>
    <mergeCell ref="E49:E50"/>
    <mergeCell ref="L49:M49"/>
    <mergeCell ref="L50:M50"/>
    <mergeCell ref="L51:M51"/>
    <mergeCell ref="L61:M61"/>
    <mergeCell ref="D57:D63"/>
    <mergeCell ref="D49:D55"/>
    <mergeCell ref="B79:E79"/>
    <mergeCell ref="L79:M79"/>
    <mergeCell ref="B69:E69"/>
    <mergeCell ref="L69:M69"/>
    <mergeCell ref="B70:E70"/>
    <mergeCell ref="L70:M70"/>
    <mergeCell ref="B71:E71"/>
    <mergeCell ref="L71:M71"/>
    <mergeCell ref="L76:M76"/>
    <mergeCell ref="B77:E77"/>
    <mergeCell ref="L77:M77"/>
    <mergeCell ref="B78:E78"/>
    <mergeCell ref="L78:M78"/>
    <mergeCell ref="L62:M62"/>
    <mergeCell ref="L63:M63"/>
    <mergeCell ref="L67:M67"/>
    <mergeCell ref="B68:E68"/>
    <mergeCell ref="H91:K91"/>
    <mergeCell ref="B80:E80"/>
    <mergeCell ref="L80:M80"/>
    <mergeCell ref="C82:C86"/>
    <mergeCell ref="L82:M82"/>
    <mergeCell ref="L83:M83"/>
    <mergeCell ref="L84:M84"/>
    <mergeCell ref="L85:M85"/>
    <mergeCell ref="L86:M86"/>
    <mergeCell ref="G88:H88"/>
    <mergeCell ref="I88:J88"/>
    <mergeCell ref="K88:M88"/>
    <mergeCell ref="B89:E89"/>
    <mergeCell ref="L89:M89"/>
    <mergeCell ref="H95:I95"/>
    <mergeCell ref="J95:K95"/>
    <mergeCell ref="H96:I96"/>
    <mergeCell ref="J96:K96"/>
    <mergeCell ref="H97:I97"/>
    <mergeCell ref="J97:K97"/>
    <mergeCell ref="H92:I92"/>
    <mergeCell ref="J92:K92"/>
    <mergeCell ref="H93:I93"/>
    <mergeCell ref="J93:K93"/>
    <mergeCell ref="H94:I94"/>
    <mergeCell ref="J94:K94"/>
    <mergeCell ref="H102:I102"/>
    <mergeCell ref="H99:I99"/>
    <mergeCell ref="J99:K99"/>
    <mergeCell ref="H101:I101"/>
    <mergeCell ref="J101:K101"/>
    <mergeCell ref="H100:I100"/>
    <mergeCell ref="J100:K100"/>
    <mergeCell ref="H98:I98"/>
    <mergeCell ref="J98:K98"/>
  </mergeCells>
  <conditionalFormatting sqref="C106:P114">
    <cfRule type="cellIs" dxfId="409" priority="12" operator="greaterThan">
      <formula>0</formula>
    </cfRule>
  </conditionalFormatting>
  <conditionalFormatting sqref="B8:B27">
    <cfRule type="colorScale" priority="11">
      <colorScale>
        <cfvo type="min"/>
        <cfvo type="percentile" val="50"/>
        <cfvo type="max"/>
        <color rgb="FF63BE7B"/>
        <color rgb="FFFFEB84"/>
        <color rgb="FFF8696B"/>
      </colorScale>
    </cfRule>
  </conditionalFormatting>
  <conditionalFormatting sqref="D8:D27">
    <cfRule type="colorScale" priority="10">
      <colorScale>
        <cfvo type="min"/>
        <cfvo type="percentile" val="50"/>
        <cfvo type="max"/>
        <color rgb="FF63BE7B"/>
        <color rgb="FFFFEB84"/>
        <color rgb="FFF8696B"/>
      </colorScale>
    </cfRule>
  </conditionalFormatting>
  <conditionalFormatting sqref="E8:E27">
    <cfRule type="colorScale" priority="9">
      <colorScale>
        <cfvo type="min"/>
        <cfvo type="percentile" val="50"/>
        <cfvo type="max"/>
        <color rgb="FF63BE7B"/>
        <color rgb="FFFFEB84"/>
        <color rgb="FFF8696B"/>
      </colorScale>
    </cfRule>
  </conditionalFormatting>
  <conditionalFormatting sqref="G8:G27">
    <cfRule type="colorScale" priority="8">
      <colorScale>
        <cfvo type="min"/>
        <cfvo type="percentile" val="50"/>
        <cfvo type="max"/>
        <color rgb="FF63BE7B"/>
        <color rgb="FFFFEB84"/>
        <color rgb="FFF8696B"/>
      </colorScale>
    </cfRule>
  </conditionalFormatting>
  <conditionalFormatting sqref="H8:H27">
    <cfRule type="colorScale" priority="7">
      <colorScale>
        <cfvo type="min"/>
        <cfvo type="percentile" val="50"/>
        <cfvo type="max"/>
        <color rgb="FF63BE7B"/>
        <color rgb="FFFFEB84"/>
        <color rgb="FFF8696B"/>
      </colorScale>
    </cfRule>
  </conditionalFormatting>
  <conditionalFormatting sqref="J8:J27">
    <cfRule type="colorScale" priority="6">
      <colorScale>
        <cfvo type="min"/>
        <cfvo type="percentile" val="50"/>
        <cfvo type="max"/>
        <color rgb="FF63BE7B"/>
        <color rgb="FFFFEB84"/>
        <color rgb="FFF8696B"/>
      </colorScale>
    </cfRule>
  </conditionalFormatting>
  <conditionalFormatting sqref="K8:K27">
    <cfRule type="colorScale" priority="5">
      <colorScale>
        <cfvo type="min"/>
        <cfvo type="percentile" val="50"/>
        <cfvo type="max"/>
        <color rgb="FF63BE7B"/>
        <color rgb="FFFFEB84"/>
        <color rgb="FFF8696B"/>
      </colorScale>
    </cfRule>
  </conditionalFormatting>
  <conditionalFormatting sqref="M8:M27">
    <cfRule type="colorScale" priority="4">
      <colorScale>
        <cfvo type="min"/>
        <cfvo type="percentile" val="50"/>
        <cfvo type="max"/>
        <color rgb="FF63BE7B"/>
        <color rgb="FFFFEB84"/>
        <color rgb="FFF8696B"/>
      </colorScale>
    </cfRule>
  </conditionalFormatting>
  <conditionalFormatting sqref="N8:N27">
    <cfRule type="colorScale" priority="3">
      <colorScale>
        <cfvo type="min"/>
        <cfvo type="percentile" val="50"/>
        <cfvo type="max"/>
        <color rgb="FF63BE7B"/>
        <color rgb="FFFFEB84"/>
        <color rgb="FFF8696B"/>
      </colorScale>
    </cfRule>
  </conditionalFormatting>
  <conditionalFormatting sqref="P8:P27">
    <cfRule type="colorScale" priority="2">
      <colorScale>
        <cfvo type="min"/>
        <cfvo type="percentile" val="50"/>
        <cfvo type="max"/>
        <color rgb="FF63BE7B"/>
        <color rgb="FFFFEB84"/>
        <color rgb="FFF8696B"/>
      </colorScale>
    </cfRule>
  </conditionalFormatting>
  <conditionalFormatting sqref="Q8:Q27">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ignoredErrors>
    <ignoredError sqref="I59:I6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6FF9-140E-41C1-ADE2-DBADFF02943E}">
  <sheetPr>
    <tabColor rgb="FFFFC000"/>
  </sheetPr>
  <dimension ref="A2:V581"/>
  <sheetViews>
    <sheetView workbookViewId="0"/>
  </sheetViews>
  <sheetFormatPr baseColWidth="10" defaultColWidth="11.44140625" defaultRowHeight="13.9" x14ac:dyDescent="0.25"/>
  <cols>
    <col min="1" max="1" width="3.33203125" style="73" customWidth="1"/>
    <col min="2" max="2" width="30.44140625" style="73" customWidth="1"/>
    <col min="3" max="3" width="10.5546875" style="73" bestFit="1" customWidth="1"/>
    <col min="4" max="5" width="15.6640625" style="73" customWidth="1"/>
    <col min="6" max="6" width="10.5546875" style="73" bestFit="1" customWidth="1"/>
    <col min="7" max="7" width="17" style="73" customWidth="1"/>
    <col min="8" max="8" width="17.33203125" style="73" customWidth="1"/>
    <col min="9" max="9" width="11.44140625" style="73" customWidth="1"/>
    <col min="10" max="11" width="15.6640625" style="73" customWidth="1"/>
    <col min="12" max="12" width="10.5546875" style="73" bestFit="1" customWidth="1"/>
    <col min="13" max="14" width="15.6640625" style="73" customWidth="1"/>
    <col min="15" max="15" width="10.5546875" style="73" bestFit="1" customWidth="1"/>
    <col min="16" max="17" width="15.6640625" style="73" customWidth="1"/>
    <col min="18" max="19" width="11.44140625" style="73"/>
    <col min="20" max="20" width="49" style="73" bestFit="1" customWidth="1"/>
    <col min="21" max="21" width="27.44140625" style="73" bestFit="1" customWidth="1"/>
    <col min="22" max="22" width="98.88671875" style="73" customWidth="1"/>
    <col min="23" max="16384" width="11.44140625" style="73"/>
  </cols>
  <sheetData>
    <row r="2" spans="1:17" x14ac:dyDescent="0.25">
      <c r="B2" s="383" t="s">
        <v>489</v>
      </c>
    </row>
    <row r="3" spans="1:17" ht="14.55" thickBot="1" x14ac:dyDescent="0.3"/>
    <row r="4" spans="1:17" ht="14.55" x14ac:dyDescent="0.25">
      <c r="A4" s="465"/>
      <c r="B4" s="1195" t="s">
        <v>321</v>
      </c>
      <c r="C4" s="390"/>
      <c r="D4" s="1200" t="s">
        <v>322</v>
      </c>
      <c r="E4" s="1201"/>
      <c r="F4" s="390"/>
      <c r="G4" s="1200" t="s">
        <v>323</v>
      </c>
      <c r="H4" s="1201"/>
      <c r="I4" s="390"/>
      <c r="J4" s="1200" t="s">
        <v>324</v>
      </c>
      <c r="K4" s="1201"/>
      <c r="L4" s="390"/>
      <c r="M4" s="1287"/>
      <c r="N4" s="1288"/>
      <c r="O4" s="390"/>
      <c r="P4" s="1287"/>
      <c r="Q4" s="1288"/>
    </row>
    <row r="5" spans="1:17" ht="14.55" x14ac:dyDescent="0.25">
      <c r="A5" s="465"/>
      <c r="B5" s="1196"/>
      <c r="C5" s="390"/>
      <c r="D5" s="1202" t="s">
        <v>327</v>
      </c>
      <c r="E5" s="1203"/>
      <c r="F5" s="390"/>
      <c r="G5" s="1202" t="s">
        <v>328</v>
      </c>
      <c r="H5" s="1203"/>
      <c r="I5" s="390"/>
      <c r="J5" s="1202" t="s">
        <v>329</v>
      </c>
      <c r="K5" s="1203"/>
      <c r="L5" s="390"/>
      <c r="M5" s="1285"/>
      <c r="N5" s="1286"/>
      <c r="O5" s="390"/>
      <c r="P5" s="1285"/>
      <c r="Q5" s="1286"/>
    </row>
    <row r="6" spans="1:17" ht="14.55" x14ac:dyDescent="0.25">
      <c r="A6" s="465"/>
      <c r="B6" s="1196"/>
      <c r="C6" s="390"/>
      <c r="D6" s="388" t="s">
        <v>332</v>
      </c>
      <c r="E6" s="389" t="s">
        <v>333</v>
      </c>
      <c r="F6" s="390"/>
      <c r="G6" s="388" t="s">
        <v>332</v>
      </c>
      <c r="H6" s="389" t="s">
        <v>333</v>
      </c>
      <c r="I6" s="390"/>
      <c r="J6" s="388" t="s">
        <v>332</v>
      </c>
      <c r="K6" s="389" t="s">
        <v>333</v>
      </c>
      <c r="L6" s="390"/>
      <c r="M6" s="388"/>
      <c r="N6" s="389"/>
      <c r="O6" s="390"/>
      <c r="P6" s="388"/>
      <c r="Q6" s="389"/>
    </row>
    <row r="7" spans="1:17" ht="15.2" thickBot="1" x14ac:dyDescent="0.3">
      <c r="A7" s="465"/>
      <c r="B7" s="1197"/>
      <c r="C7" s="390"/>
      <c r="D7" s="1198" t="s">
        <v>3</v>
      </c>
      <c r="E7" s="1199"/>
      <c r="F7" s="390"/>
      <c r="G7" s="1198" t="s">
        <v>3</v>
      </c>
      <c r="H7" s="1199"/>
      <c r="I7" s="390"/>
      <c r="J7" s="1198" t="s">
        <v>3</v>
      </c>
      <c r="K7" s="1199"/>
      <c r="L7" s="390"/>
      <c r="M7" s="1193"/>
      <c r="N7" s="1194"/>
      <c r="O7" s="390"/>
      <c r="P7" s="1193"/>
      <c r="Q7" s="1194"/>
    </row>
    <row r="8" spans="1:17" ht="14.55" x14ac:dyDescent="0.25">
      <c r="A8" s="465"/>
      <c r="B8" s="401">
        <v>250000</v>
      </c>
      <c r="C8" s="398"/>
      <c r="D8" s="334">
        <v>1729</v>
      </c>
      <c r="E8" s="335">
        <v>1985</v>
      </c>
      <c r="F8" s="398"/>
      <c r="G8" s="334">
        <f>E8</f>
        <v>1985</v>
      </c>
      <c r="H8" s="335">
        <v>2284</v>
      </c>
      <c r="I8" s="398"/>
      <c r="J8" s="334">
        <f>H8</f>
        <v>2284</v>
      </c>
      <c r="K8" s="335">
        <v>2625</v>
      </c>
      <c r="L8" s="398"/>
      <c r="M8" s="399"/>
      <c r="N8" s="400"/>
      <c r="O8" s="398"/>
      <c r="P8" s="399"/>
      <c r="Q8" s="400"/>
    </row>
    <row r="9" spans="1:17" ht="14.55" x14ac:dyDescent="0.25">
      <c r="A9" s="465"/>
      <c r="B9" s="519">
        <v>275000</v>
      </c>
      <c r="C9" s="398"/>
      <c r="D9" s="402">
        <v>1840</v>
      </c>
      <c r="E9" s="403">
        <v>2113</v>
      </c>
      <c r="F9" s="398"/>
      <c r="G9" s="402">
        <f t="shared" ref="G9:G26" si="0">E9</f>
        <v>2113</v>
      </c>
      <c r="H9" s="403">
        <v>2431</v>
      </c>
      <c r="I9" s="398"/>
      <c r="J9" s="402">
        <f t="shared" ref="J9:J27" si="1">H9</f>
        <v>2431</v>
      </c>
      <c r="K9" s="403">
        <v>2794</v>
      </c>
      <c r="L9" s="398"/>
      <c r="M9" s="399"/>
      <c r="N9" s="403"/>
      <c r="O9" s="398"/>
      <c r="P9" s="399"/>
      <c r="Q9" s="403"/>
    </row>
    <row r="10" spans="1:17" ht="14.55" x14ac:dyDescent="0.25">
      <c r="A10" s="465"/>
      <c r="B10" s="519">
        <v>300000</v>
      </c>
      <c r="C10" s="398"/>
      <c r="D10" s="402">
        <v>1948</v>
      </c>
      <c r="E10" s="403">
        <v>2237</v>
      </c>
      <c r="F10" s="398"/>
      <c r="G10" s="402">
        <f t="shared" si="0"/>
        <v>2237</v>
      </c>
      <c r="H10" s="403">
        <v>2574</v>
      </c>
      <c r="I10" s="398"/>
      <c r="J10" s="402">
        <f t="shared" si="1"/>
        <v>2574</v>
      </c>
      <c r="K10" s="403">
        <v>2959</v>
      </c>
      <c r="L10" s="398"/>
      <c r="M10" s="399"/>
      <c r="N10" s="403"/>
      <c r="O10" s="398"/>
      <c r="P10" s="399"/>
      <c r="Q10" s="403"/>
    </row>
    <row r="11" spans="1:17" ht="14.55" x14ac:dyDescent="0.25">
      <c r="A11" s="465"/>
      <c r="B11" s="404">
        <v>350000</v>
      </c>
      <c r="C11" s="398"/>
      <c r="D11" s="402">
        <v>2156</v>
      </c>
      <c r="E11" s="403">
        <v>2475</v>
      </c>
      <c r="F11" s="398"/>
      <c r="G11" s="402">
        <f t="shared" si="0"/>
        <v>2475</v>
      </c>
      <c r="H11" s="403">
        <v>2847</v>
      </c>
      <c r="I11" s="398"/>
      <c r="J11" s="402">
        <f t="shared" si="1"/>
        <v>2847</v>
      </c>
      <c r="K11" s="403">
        <v>3273</v>
      </c>
      <c r="L11" s="398"/>
      <c r="M11" s="399"/>
      <c r="N11" s="403"/>
      <c r="O11" s="398"/>
      <c r="P11" s="399"/>
      <c r="Q11" s="403"/>
    </row>
    <row r="12" spans="1:17" ht="15.2" thickBot="1" x14ac:dyDescent="0.3">
      <c r="A12" s="465"/>
      <c r="B12" s="520">
        <v>400000</v>
      </c>
      <c r="C12" s="398"/>
      <c r="D12" s="405">
        <v>2353</v>
      </c>
      <c r="E12" s="406">
        <v>2701</v>
      </c>
      <c r="F12" s="398"/>
      <c r="G12" s="405">
        <f t="shared" si="0"/>
        <v>2701</v>
      </c>
      <c r="H12" s="406">
        <v>3108</v>
      </c>
      <c r="I12" s="398"/>
      <c r="J12" s="405">
        <f t="shared" si="1"/>
        <v>3108</v>
      </c>
      <c r="K12" s="406">
        <v>3573</v>
      </c>
      <c r="L12" s="398"/>
      <c r="M12" s="407"/>
      <c r="N12" s="406"/>
      <c r="O12" s="398"/>
      <c r="P12" s="407"/>
      <c r="Q12" s="406"/>
    </row>
    <row r="13" spans="1:17" ht="14.55" x14ac:dyDescent="0.25">
      <c r="A13" s="465"/>
      <c r="B13" s="401">
        <v>500000</v>
      </c>
      <c r="C13" s="398"/>
      <c r="D13" s="334">
        <v>2724</v>
      </c>
      <c r="E13" s="335">
        <v>3127</v>
      </c>
      <c r="F13" s="398"/>
      <c r="G13" s="334">
        <f t="shared" si="0"/>
        <v>3127</v>
      </c>
      <c r="H13" s="335">
        <v>3598</v>
      </c>
      <c r="I13" s="398"/>
      <c r="J13" s="334">
        <f t="shared" si="1"/>
        <v>3598</v>
      </c>
      <c r="K13" s="335">
        <v>4136</v>
      </c>
      <c r="L13" s="398"/>
      <c r="M13" s="334"/>
      <c r="N13" s="335"/>
      <c r="O13" s="398"/>
      <c r="P13" s="334"/>
      <c r="Q13" s="335"/>
    </row>
    <row r="14" spans="1:17" ht="14.55" x14ac:dyDescent="0.25">
      <c r="A14" s="465"/>
      <c r="B14" s="404">
        <v>600000</v>
      </c>
      <c r="C14" s="398"/>
      <c r="D14" s="402">
        <v>3069</v>
      </c>
      <c r="E14" s="403">
        <v>3524</v>
      </c>
      <c r="F14" s="398"/>
      <c r="G14" s="402">
        <f t="shared" si="0"/>
        <v>3524</v>
      </c>
      <c r="H14" s="403">
        <v>4055</v>
      </c>
      <c r="I14" s="398"/>
      <c r="J14" s="402">
        <f t="shared" si="1"/>
        <v>4055</v>
      </c>
      <c r="K14" s="403">
        <v>4661</v>
      </c>
      <c r="L14" s="398"/>
      <c r="M14" s="399"/>
      <c r="N14" s="403"/>
      <c r="O14" s="398"/>
      <c r="P14" s="399"/>
      <c r="Q14" s="403"/>
    </row>
    <row r="15" spans="1:17" ht="14.55" x14ac:dyDescent="0.25">
      <c r="A15" s="465"/>
      <c r="B15" s="404">
        <v>750000</v>
      </c>
      <c r="C15" s="398"/>
      <c r="D15" s="402">
        <v>3553</v>
      </c>
      <c r="E15" s="403">
        <v>4080</v>
      </c>
      <c r="F15" s="398"/>
      <c r="G15" s="402">
        <f t="shared" si="0"/>
        <v>4080</v>
      </c>
      <c r="H15" s="403">
        <v>4694</v>
      </c>
      <c r="I15" s="398"/>
      <c r="J15" s="402">
        <f t="shared" si="1"/>
        <v>4694</v>
      </c>
      <c r="K15" s="403">
        <v>5396</v>
      </c>
      <c r="L15" s="398"/>
      <c r="M15" s="399"/>
      <c r="N15" s="403"/>
      <c r="O15" s="398"/>
      <c r="P15" s="399"/>
      <c r="Q15" s="403"/>
    </row>
    <row r="16" spans="1:17" ht="14.55" x14ac:dyDescent="0.25">
      <c r="A16" s="465"/>
      <c r="B16" s="404">
        <v>1000000</v>
      </c>
      <c r="C16" s="398"/>
      <c r="D16" s="402">
        <v>4291</v>
      </c>
      <c r="E16" s="403">
        <v>4927</v>
      </c>
      <c r="F16" s="398"/>
      <c r="G16" s="402">
        <f t="shared" si="0"/>
        <v>4927</v>
      </c>
      <c r="H16" s="403">
        <v>5669</v>
      </c>
      <c r="I16" s="398"/>
      <c r="J16" s="402">
        <f t="shared" si="1"/>
        <v>5669</v>
      </c>
      <c r="K16" s="403">
        <v>6516</v>
      </c>
      <c r="L16" s="398"/>
      <c r="M16" s="399"/>
      <c r="N16" s="403"/>
      <c r="O16" s="398"/>
      <c r="P16" s="399"/>
      <c r="Q16" s="403"/>
    </row>
    <row r="17" spans="1:17" ht="15.2" thickBot="1" x14ac:dyDescent="0.3">
      <c r="A17" s="465"/>
      <c r="B17" s="520">
        <v>1250000</v>
      </c>
      <c r="C17" s="398"/>
      <c r="D17" s="405">
        <v>4968</v>
      </c>
      <c r="E17" s="406">
        <v>5704</v>
      </c>
      <c r="F17" s="398"/>
      <c r="G17" s="405">
        <f t="shared" si="0"/>
        <v>5704</v>
      </c>
      <c r="H17" s="406">
        <v>6563</v>
      </c>
      <c r="I17" s="398"/>
      <c r="J17" s="405">
        <f t="shared" si="1"/>
        <v>6563</v>
      </c>
      <c r="K17" s="406">
        <v>7544</v>
      </c>
      <c r="L17" s="398"/>
      <c r="M17" s="407"/>
      <c r="N17" s="406"/>
      <c r="O17" s="398"/>
      <c r="P17" s="407"/>
      <c r="Q17" s="406"/>
    </row>
    <row r="18" spans="1:17" ht="14.55" x14ac:dyDescent="0.25">
      <c r="A18" s="465"/>
      <c r="B18" s="401">
        <v>1500000</v>
      </c>
      <c r="C18" s="398"/>
      <c r="D18" s="334">
        <v>5599</v>
      </c>
      <c r="E18" s="335">
        <v>6429</v>
      </c>
      <c r="F18" s="398"/>
      <c r="G18" s="334">
        <f t="shared" si="0"/>
        <v>6429</v>
      </c>
      <c r="H18" s="335">
        <v>7397</v>
      </c>
      <c r="I18" s="398"/>
      <c r="J18" s="334">
        <f t="shared" si="1"/>
        <v>7397</v>
      </c>
      <c r="K18" s="335">
        <v>8503</v>
      </c>
      <c r="L18" s="398"/>
      <c r="M18" s="334"/>
      <c r="N18" s="335"/>
      <c r="O18" s="398"/>
      <c r="P18" s="334"/>
      <c r="Q18" s="335"/>
    </row>
    <row r="19" spans="1:17" ht="14.55" x14ac:dyDescent="0.25">
      <c r="A19" s="465"/>
      <c r="B19" s="404">
        <v>2000000</v>
      </c>
      <c r="C19" s="398"/>
      <c r="D19" s="402">
        <v>6763</v>
      </c>
      <c r="E19" s="403">
        <v>7765</v>
      </c>
      <c r="F19" s="398"/>
      <c r="G19" s="402">
        <f t="shared" si="0"/>
        <v>7765</v>
      </c>
      <c r="H19" s="403">
        <v>8934</v>
      </c>
      <c r="I19" s="398"/>
      <c r="J19" s="402">
        <f t="shared" si="1"/>
        <v>8934</v>
      </c>
      <c r="K19" s="403">
        <v>10270</v>
      </c>
      <c r="L19" s="398"/>
      <c r="M19" s="399"/>
      <c r="N19" s="403"/>
      <c r="O19" s="398"/>
      <c r="P19" s="399"/>
      <c r="Q19" s="403"/>
    </row>
    <row r="20" spans="1:17" ht="14.55" x14ac:dyDescent="0.25">
      <c r="A20" s="465"/>
      <c r="B20" s="404">
        <v>2500000</v>
      </c>
      <c r="C20" s="398"/>
      <c r="D20" s="402">
        <v>7830</v>
      </c>
      <c r="E20" s="403">
        <v>8990</v>
      </c>
      <c r="F20" s="398"/>
      <c r="G20" s="402">
        <f t="shared" si="0"/>
        <v>8990</v>
      </c>
      <c r="H20" s="403">
        <v>10343</v>
      </c>
      <c r="I20" s="398"/>
      <c r="J20" s="402">
        <f t="shared" si="1"/>
        <v>10343</v>
      </c>
      <c r="K20" s="403">
        <v>11890</v>
      </c>
      <c r="L20" s="398"/>
      <c r="M20" s="399"/>
      <c r="N20" s="403"/>
      <c r="O20" s="398"/>
      <c r="P20" s="399"/>
      <c r="Q20" s="403"/>
    </row>
    <row r="21" spans="1:17" ht="14.55" x14ac:dyDescent="0.25">
      <c r="A21" s="465"/>
      <c r="B21" s="404">
        <v>3500000</v>
      </c>
      <c r="C21" s="398"/>
      <c r="D21" s="402">
        <v>9766</v>
      </c>
      <c r="E21" s="403">
        <v>11213</v>
      </c>
      <c r="F21" s="398"/>
      <c r="G21" s="402">
        <f t="shared" si="0"/>
        <v>11213</v>
      </c>
      <c r="H21" s="403">
        <v>12901</v>
      </c>
      <c r="I21" s="398"/>
      <c r="J21" s="402">
        <f t="shared" si="1"/>
        <v>12901</v>
      </c>
      <c r="K21" s="403">
        <v>14830</v>
      </c>
      <c r="L21" s="398"/>
      <c r="M21" s="399"/>
      <c r="N21" s="403"/>
      <c r="O21" s="398"/>
      <c r="P21" s="399"/>
      <c r="Q21" s="403"/>
    </row>
    <row r="22" spans="1:17" ht="15.2" thickBot="1" x14ac:dyDescent="0.3">
      <c r="A22" s="465"/>
      <c r="B22" s="520">
        <v>5000000</v>
      </c>
      <c r="C22" s="398"/>
      <c r="D22" s="405">
        <v>12345</v>
      </c>
      <c r="E22" s="406">
        <v>14174</v>
      </c>
      <c r="F22" s="398"/>
      <c r="G22" s="405">
        <f t="shared" si="0"/>
        <v>14174</v>
      </c>
      <c r="H22" s="406">
        <v>16307</v>
      </c>
      <c r="I22" s="398"/>
      <c r="J22" s="405">
        <f t="shared" si="1"/>
        <v>16307</v>
      </c>
      <c r="K22" s="406">
        <v>18746</v>
      </c>
      <c r="L22" s="398"/>
      <c r="M22" s="407"/>
      <c r="N22" s="406"/>
      <c r="O22" s="398"/>
      <c r="P22" s="407"/>
      <c r="Q22" s="406"/>
    </row>
    <row r="23" spans="1:17" ht="14.55" x14ac:dyDescent="0.25">
      <c r="A23" s="465"/>
      <c r="B23" s="401">
        <v>7500000</v>
      </c>
      <c r="C23" s="398"/>
      <c r="D23" s="334">
        <v>16114</v>
      </c>
      <c r="E23" s="335">
        <v>18502</v>
      </c>
      <c r="F23" s="398"/>
      <c r="G23" s="334">
        <f t="shared" si="0"/>
        <v>18502</v>
      </c>
      <c r="H23" s="335">
        <v>21287</v>
      </c>
      <c r="I23" s="398"/>
      <c r="J23" s="334">
        <f t="shared" si="1"/>
        <v>21287</v>
      </c>
      <c r="K23" s="335">
        <v>24470</v>
      </c>
      <c r="L23" s="398"/>
      <c r="M23" s="334"/>
      <c r="N23" s="335"/>
      <c r="O23" s="398"/>
      <c r="P23" s="334"/>
      <c r="Q23" s="335"/>
    </row>
    <row r="24" spans="1:17" ht="14.55" x14ac:dyDescent="0.25">
      <c r="A24" s="465"/>
      <c r="B24" s="404">
        <v>10000000</v>
      </c>
      <c r="C24" s="398"/>
      <c r="D24" s="402">
        <v>19470</v>
      </c>
      <c r="E24" s="403">
        <v>22354</v>
      </c>
      <c r="F24" s="398"/>
      <c r="G24" s="402">
        <f t="shared" si="0"/>
        <v>22354</v>
      </c>
      <c r="H24" s="403">
        <v>25719</v>
      </c>
      <c r="I24" s="398"/>
      <c r="J24" s="402">
        <f t="shared" si="1"/>
        <v>25719</v>
      </c>
      <c r="K24" s="403">
        <v>29565</v>
      </c>
      <c r="L24" s="398"/>
      <c r="M24" s="399"/>
      <c r="N24" s="403"/>
      <c r="O24" s="398"/>
      <c r="P24" s="399"/>
      <c r="Q24" s="403"/>
    </row>
    <row r="25" spans="1:17" ht="14.55" x14ac:dyDescent="0.25">
      <c r="A25" s="465"/>
      <c r="B25" s="404">
        <v>15000000</v>
      </c>
      <c r="C25" s="398"/>
      <c r="D25" s="402">
        <v>25422</v>
      </c>
      <c r="E25" s="403">
        <v>29188</v>
      </c>
      <c r="F25" s="398"/>
      <c r="G25" s="402">
        <f t="shared" si="0"/>
        <v>29188</v>
      </c>
      <c r="H25" s="403">
        <v>33582</v>
      </c>
      <c r="I25" s="398"/>
      <c r="J25" s="402">
        <f t="shared" si="1"/>
        <v>33582</v>
      </c>
      <c r="K25" s="403">
        <v>38604</v>
      </c>
      <c r="L25" s="398"/>
      <c r="M25" s="399"/>
      <c r="N25" s="403"/>
      <c r="O25" s="398"/>
      <c r="P25" s="399"/>
      <c r="Q25" s="403"/>
    </row>
    <row r="26" spans="1:17" ht="14.55" x14ac:dyDescent="0.25">
      <c r="A26" s="465"/>
      <c r="B26" s="404">
        <v>20000000</v>
      </c>
      <c r="C26" s="398"/>
      <c r="D26" s="402">
        <v>30722</v>
      </c>
      <c r="E26" s="403">
        <v>35273</v>
      </c>
      <c r="F26" s="398"/>
      <c r="G26" s="402">
        <f t="shared" si="0"/>
        <v>35273</v>
      </c>
      <c r="H26" s="403">
        <v>40593</v>
      </c>
      <c r="I26" s="398"/>
      <c r="J26" s="402">
        <f t="shared" si="1"/>
        <v>40593</v>
      </c>
      <c r="K26" s="403">
        <v>46652</v>
      </c>
      <c r="L26" s="398"/>
      <c r="M26" s="399"/>
      <c r="N26" s="403"/>
      <c r="O26" s="398"/>
      <c r="P26" s="399"/>
      <c r="Q26" s="403"/>
    </row>
    <row r="27" spans="1:17" ht="15.2" thickBot="1" x14ac:dyDescent="0.3">
      <c r="A27" s="465"/>
      <c r="B27" s="408">
        <v>25000000</v>
      </c>
      <c r="C27" s="398"/>
      <c r="D27" s="410">
        <v>40857</v>
      </c>
      <c r="E27" s="411">
        <v>40857</v>
      </c>
      <c r="F27" s="398"/>
      <c r="G27" s="410">
        <f>E27</f>
        <v>40857</v>
      </c>
      <c r="H27" s="411">
        <v>47008</v>
      </c>
      <c r="I27" s="398"/>
      <c r="J27" s="410">
        <f t="shared" si="1"/>
        <v>47008</v>
      </c>
      <c r="K27" s="411">
        <v>54037</v>
      </c>
      <c r="L27" s="398"/>
      <c r="M27" s="399"/>
      <c r="N27" s="403"/>
      <c r="O27" s="398"/>
      <c r="P27" s="399"/>
      <c r="Q27" s="403"/>
    </row>
    <row r="28" spans="1:17" ht="14.55" x14ac:dyDescent="0.25">
      <c r="A28" s="74"/>
      <c r="B28" s="74"/>
      <c r="C28" s="74"/>
      <c r="D28" s="74"/>
      <c r="E28" s="74"/>
      <c r="F28" s="74"/>
      <c r="G28" s="74"/>
      <c r="H28" s="74"/>
      <c r="I28" s="74"/>
      <c r="J28" s="74"/>
      <c r="K28" s="74"/>
      <c r="L28" s="74"/>
      <c r="M28" s="74"/>
      <c r="N28" s="74"/>
      <c r="O28" s="74"/>
      <c r="P28" s="74"/>
      <c r="Q28" s="74"/>
    </row>
    <row r="29" spans="1:17" ht="14.55" x14ac:dyDescent="0.25">
      <c r="A29" s="74"/>
      <c r="B29" s="449" t="s">
        <v>486</v>
      </c>
      <c r="C29" s="74"/>
      <c r="D29" s="74"/>
      <c r="E29" s="447"/>
      <c r="F29" s="74"/>
      <c r="G29" s="74"/>
      <c r="H29" s="447"/>
      <c r="I29" s="74"/>
      <c r="J29" s="74"/>
      <c r="K29" s="74"/>
      <c r="L29" s="74"/>
      <c r="M29" s="74"/>
      <c r="N29" s="74"/>
      <c r="O29" s="74"/>
      <c r="P29" s="74"/>
      <c r="Q29" s="74"/>
    </row>
    <row r="30" spans="1:17" ht="14.55" x14ac:dyDescent="0.25">
      <c r="A30" s="74"/>
      <c r="B30" s="74"/>
      <c r="C30" s="74"/>
      <c r="D30" s="74"/>
      <c r="E30" s="447"/>
      <c r="F30" s="74"/>
      <c r="G30" s="74"/>
      <c r="H30" s="447"/>
      <c r="I30" s="74"/>
      <c r="J30" s="74"/>
      <c r="K30" s="74"/>
      <c r="L30" s="74"/>
      <c r="M30" s="74"/>
      <c r="N30" s="74"/>
      <c r="O30" s="74"/>
      <c r="P30" s="74"/>
      <c r="Q30" s="74"/>
    </row>
    <row r="31" spans="1:17" ht="14.55" x14ac:dyDescent="0.25">
      <c r="A31" s="74"/>
      <c r="B31" s="74"/>
      <c r="C31" s="74"/>
      <c r="D31" s="1204"/>
      <c r="E31" s="1204"/>
      <c r="F31" s="1204"/>
      <c r="G31" s="1204"/>
      <c r="H31" s="1204"/>
      <c r="I31" s="523"/>
      <c r="J31" s="451"/>
      <c r="K31" s="451"/>
      <c r="L31" s="451"/>
      <c r="M31" s="451"/>
      <c r="N31" s="451"/>
      <c r="O31" s="74"/>
      <c r="P31" s="74"/>
      <c r="Q31" s="74"/>
    </row>
    <row r="32" spans="1:17" ht="14.55" x14ac:dyDescent="0.25">
      <c r="A32" s="74"/>
      <c r="B32" s="74"/>
      <c r="C32" s="74"/>
      <c r="D32" s="74"/>
      <c r="E32" s="447"/>
      <c r="F32" s="74"/>
      <c r="G32" s="74"/>
      <c r="H32" s="447"/>
      <c r="I32" s="74"/>
      <c r="J32" s="74"/>
      <c r="K32" s="74"/>
      <c r="L32" s="74"/>
      <c r="M32" s="74"/>
      <c r="N32" s="74"/>
      <c r="O32" s="74"/>
      <c r="P32" s="74"/>
      <c r="Q32" s="74"/>
    </row>
    <row r="33" spans="1:17" ht="14.55" x14ac:dyDescent="0.25">
      <c r="A33" s="74"/>
      <c r="B33" s="74"/>
      <c r="C33" s="391"/>
      <c r="D33" s="1188" t="s">
        <v>337</v>
      </c>
      <c r="E33" s="387">
        <v>1</v>
      </c>
      <c r="F33" s="391"/>
      <c r="G33" s="1188" t="s">
        <v>338</v>
      </c>
      <c r="H33" s="387" t="s">
        <v>148</v>
      </c>
      <c r="I33" s="391"/>
      <c r="J33" s="74"/>
      <c r="K33" s="397"/>
      <c r="L33" s="391"/>
      <c r="M33" s="74"/>
      <c r="N33" s="397"/>
      <c r="O33" s="412"/>
      <c r="P33" s="465"/>
      <c r="Q33" s="465"/>
    </row>
    <row r="34" spans="1:17" ht="14.55" x14ac:dyDescent="0.25">
      <c r="A34" s="74"/>
      <c r="B34" s="74"/>
      <c r="C34" s="391"/>
      <c r="D34" s="1188"/>
      <c r="E34" s="387">
        <v>2</v>
      </c>
      <c r="F34" s="391"/>
      <c r="G34" s="1188"/>
      <c r="H34" s="387" t="s">
        <v>339</v>
      </c>
      <c r="I34" s="391"/>
      <c r="J34" s="74"/>
      <c r="K34" s="397"/>
      <c r="L34" s="391"/>
      <c r="M34" s="74"/>
      <c r="N34" s="397"/>
      <c r="O34" s="412"/>
      <c r="P34" s="465"/>
      <c r="Q34" s="465"/>
    </row>
    <row r="35" spans="1:17" ht="14.55" x14ac:dyDescent="0.25">
      <c r="A35" s="74"/>
      <c r="B35" s="74"/>
      <c r="C35" s="74"/>
      <c r="D35" s="1188"/>
      <c r="E35" s="387">
        <v>3</v>
      </c>
      <c r="F35" s="74"/>
      <c r="G35" s="1188"/>
      <c r="H35" s="387" t="s">
        <v>340</v>
      </c>
      <c r="I35" s="74"/>
      <c r="J35" s="74"/>
      <c r="K35" s="397"/>
      <c r="L35" s="74"/>
      <c r="M35" s="74"/>
      <c r="N35" s="397"/>
      <c r="O35" s="74"/>
      <c r="P35" s="74"/>
      <c r="Q35" s="74"/>
    </row>
    <row r="36" spans="1:17" ht="14.55" x14ac:dyDescent="0.25">
      <c r="A36" s="74"/>
      <c r="B36" s="74"/>
      <c r="C36" s="74"/>
      <c r="D36" s="1188"/>
      <c r="E36" s="387">
        <v>4</v>
      </c>
      <c r="F36" s="74"/>
      <c r="G36" s="1188"/>
      <c r="H36" s="387" t="s">
        <v>341</v>
      </c>
      <c r="I36" s="74"/>
      <c r="J36" s="74"/>
      <c r="K36" s="397"/>
      <c r="L36" s="74"/>
      <c r="M36" s="74"/>
      <c r="N36" s="397"/>
      <c r="O36" s="74"/>
      <c r="P36" s="74"/>
      <c r="Q36" s="74"/>
    </row>
    <row r="37" spans="1:17" ht="14.55" x14ac:dyDescent="0.25">
      <c r="A37" s="74"/>
      <c r="B37" s="74"/>
      <c r="C37" s="74"/>
      <c r="D37" s="1188"/>
      <c r="E37" s="387">
        <v>5</v>
      </c>
      <c r="F37" s="74"/>
      <c r="G37" s="1188"/>
      <c r="H37" s="387" t="s">
        <v>342</v>
      </c>
      <c r="I37" s="74"/>
      <c r="J37" s="74"/>
      <c r="K37" s="397"/>
      <c r="L37" s="74"/>
      <c r="M37" s="74"/>
      <c r="N37" s="397"/>
      <c r="O37" s="74"/>
      <c r="P37" s="74"/>
      <c r="Q37" s="74"/>
    </row>
    <row r="38" spans="1:17" ht="15.2" thickBot="1" x14ac:dyDescent="0.35">
      <c r="B38" s="384"/>
      <c r="C38" s="384"/>
      <c r="D38" s="384"/>
      <c r="E38" s="384"/>
      <c r="F38" s="384"/>
      <c r="G38" s="1179" t="s">
        <v>343</v>
      </c>
      <c r="H38" s="1179"/>
      <c r="I38" s="1180" t="s">
        <v>344</v>
      </c>
      <c r="J38" s="1180"/>
      <c r="K38" s="1180" t="s">
        <v>345</v>
      </c>
      <c r="L38" s="1180"/>
      <c r="M38" s="384"/>
    </row>
    <row r="39" spans="1:17" ht="15.2" thickBot="1" x14ac:dyDescent="0.3">
      <c r="B39" s="1230" t="s">
        <v>346</v>
      </c>
      <c r="C39" s="1231"/>
      <c r="D39" s="1231"/>
      <c r="E39" s="1232"/>
      <c r="F39" s="74"/>
      <c r="G39" s="1225" t="e">
        <f>#REF!</f>
        <v>#REF!</v>
      </c>
      <c r="H39" s="1226"/>
      <c r="I39" s="1225" t="e">
        <f>#REF!</f>
        <v>#REF!</v>
      </c>
      <c r="J39" s="1226"/>
      <c r="K39" s="1225" t="e">
        <f>#REF!</f>
        <v>#REF!</v>
      </c>
      <c r="L39" s="1226"/>
      <c r="M39" s="524"/>
      <c r="N39" s="524"/>
    </row>
    <row r="40" spans="1:17" ht="14.55" x14ac:dyDescent="0.3">
      <c r="B40" s="74"/>
      <c r="C40" s="74"/>
      <c r="D40" s="74"/>
      <c r="E40" s="74"/>
      <c r="F40" s="74"/>
      <c r="G40" s="74"/>
      <c r="H40" s="74"/>
      <c r="I40" s="384"/>
      <c r="J40" s="384"/>
      <c r="K40" s="384"/>
      <c r="L40" s="384"/>
      <c r="M40" s="74"/>
      <c r="N40" s="74"/>
    </row>
    <row r="41" spans="1:17" ht="14.55" x14ac:dyDescent="0.3">
      <c r="B41" s="449"/>
      <c r="C41" s="74"/>
      <c r="D41" s="74"/>
      <c r="E41" s="74"/>
      <c r="F41" s="74"/>
      <c r="G41" s="74"/>
      <c r="H41" s="74"/>
      <c r="I41" s="384"/>
      <c r="J41" s="384"/>
      <c r="K41" s="384"/>
      <c r="L41" s="384"/>
      <c r="M41" s="74"/>
      <c r="N41" s="74"/>
    </row>
    <row r="42" spans="1:17" ht="14.55" x14ac:dyDescent="0.3">
      <c r="B42" s="74"/>
      <c r="C42" s="74"/>
      <c r="D42" s="74"/>
      <c r="E42" s="74"/>
      <c r="F42" s="74"/>
      <c r="G42" s="74"/>
      <c r="H42" s="74"/>
      <c r="I42" s="384"/>
      <c r="J42" s="384"/>
      <c r="K42" s="384"/>
      <c r="L42" s="384"/>
      <c r="M42" s="74"/>
      <c r="N42" s="74"/>
    </row>
    <row r="43" spans="1:17" ht="14.55" x14ac:dyDescent="0.3">
      <c r="B43" s="1242" t="s">
        <v>337</v>
      </c>
      <c r="C43" s="1243"/>
      <c r="D43" s="1243"/>
      <c r="E43" s="1244"/>
      <c r="F43" s="458"/>
      <c r="G43" s="1181" t="e">
        <f>#REF!</f>
        <v>#REF!</v>
      </c>
      <c r="H43" s="1182"/>
      <c r="I43" s="384"/>
      <c r="J43" s="384"/>
      <c r="K43" s="525"/>
      <c r="L43" s="384"/>
      <c r="M43" s="459"/>
      <c r="N43" s="459"/>
    </row>
    <row r="44" spans="1:17" ht="14.55" x14ac:dyDescent="0.3">
      <c r="B44" s="1242" t="s">
        <v>338</v>
      </c>
      <c r="C44" s="1243"/>
      <c r="D44" s="1243"/>
      <c r="E44" s="1244"/>
      <c r="F44" s="458"/>
      <c r="G44" s="1181" t="e">
        <f>#REF!</f>
        <v>#REF!</v>
      </c>
      <c r="H44" s="1182"/>
      <c r="I44" s="384"/>
      <c r="J44" s="384"/>
      <c r="K44" s="384"/>
      <c r="L44" s="384"/>
      <c r="M44" s="459"/>
      <c r="N44" s="459"/>
    </row>
    <row r="45" spans="1:17" ht="14.55" x14ac:dyDescent="0.3">
      <c r="B45" s="74"/>
      <c r="C45" s="74"/>
      <c r="D45" s="74"/>
      <c r="E45" s="74"/>
      <c r="F45" s="74"/>
      <c r="G45" s="74"/>
      <c r="H45" s="74"/>
      <c r="I45" s="384"/>
      <c r="J45" s="384"/>
      <c r="K45" s="384"/>
      <c r="L45" s="384"/>
      <c r="M45" s="384"/>
    </row>
    <row r="46" spans="1:17" ht="14.55" x14ac:dyDescent="0.3">
      <c r="B46" s="74"/>
      <c r="C46" s="74"/>
      <c r="D46" s="74"/>
      <c r="E46" s="74"/>
      <c r="F46" s="74"/>
      <c r="G46" s="74"/>
      <c r="H46" s="74"/>
      <c r="I46" s="384"/>
      <c r="J46" s="384"/>
      <c r="K46" s="384"/>
      <c r="L46" s="384"/>
      <c r="M46" s="384"/>
    </row>
    <row r="47" spans="1:17" ht="14.55" x14ac:dyDescent="0.3">
      <c r="B47" s="449" t="s">
        <v>347</v>
      </c>
      <c r="C47" s="74"/>
      <c r="D47" s="74"/>
      <c r="E47" s="74"/>
      <c r="F47" s="74"/>
      <c r="G47" s="74"/>
      <c r="H47" s="74"/>
      <c r="I47" s="384"/>
      <c r="J47" s="384"/>
      <c r="K47" s="384"/>
      <c r="L47" s="384"/>
      <c r="M47" s="384"/>
    </row>
    <row r="48" spans="1:17" ht="14.55" x14ac:dyDescent="0.3">
      <c r="B48" s="74"/>
      <c r="C48" s="74"/>
      <c r="D48" s="74"/>
      <c r="E48" s="74"/>
      <c r="F48" s="74"/>
      <c r="G48" s="1179" t="s">
        <v>343</v>
      </c>
      <c r="H48" s="1179"/>
      <c r="I48" s="1180" t="s">
        <v>344</v>
      </c>
      <c r="J48" s="1180"/>
      <c r="K48" s="1185" t="s">
        <v>345</v>
      </c>
      <c r="L48" s="1185"/>
      <c r="M48" s="1185"/>
    </row>
    <row r="49" spans="2:14" ht="14.55" x14ac:dyDescent="0.25">
      <c r="C49" s="449"/>
      <c r="D49" s="1222" t="s">
        <v>348</v>
      </c>
      <c r="E49" s="1171" t="s">
        <v>337</v>
      </c>
      <c r="F49" s="460"/>
      <c r="G49" s="526" t="s">
        <v>349</v>
      </c>
      <c r="H49" s="527" t="e">
        <f>IF($G$39&lt;$B$8,0,IF($G$39&gt;$B$27,0,VLOOKUP($G$39,$B$8:$B$27,1)))</f>
        <v>#REF!</v>
      </c>
      <c r="I49" s="526" t="s">
        <v>349</v>
      </c>
      <c r="J49" s="527" t="e">
        <f>IF($I$39&lt;$B$8,0,IF($I$39&gt;$B$27,0,VLOOKUP($I$39,$B$8:$B$27,1)))</f>
        <v>#REF!</v>
      </c>
      <c r="K49" s="526" t="s">
        <v>349</v>
      </c>
      <c r="L49" s="1175" t="e">
        <f>IF($K$39&lt;$B$8,0,IF($K$39&gt;$B$27,0,VLOOKUP(K39,B8:B27,1)))</f>
        <v>#REF!</v>
      </c>
      <c r="M49" s="1176"/>
      <c r="N49" s="460"/>
    </row>
    <row r="50" spans="2:14" ht="14.55" x14ac:dyDescent="0.25">
      <c r="B50" s="449"/>
      <c r="C50" s="449"/>
      <c r="D50" s="1223"/>
      <c r="E50" s="1172"/>
      <c r="F50" s="74"/>
      <c r="G50" s="463" t="s">
        <v>148</v>
      </c>
      <c r="H50" s="464" t="s">
        <v>342</v>
      </c>
      <c r="I50" s="463" t="s">
        <v>148</v>
      </c>
      <c r="J50" s="464" t="s">
        <v>342</v>
      </c>
      <c r="K50" s="463" t="s">
        <v>148</v>
      </c>
      <c r="L50" s="1177" t="s">
        <v>342</v>
      </c>
      <c r="M50" s="1178"/>
      <c r="N50" s="465"/>
    </row>
    <row r="51" spans="2:14" ht="14.55" x14ac:dyDescent="0.25">
      <c r="B51" s="449"/>
      <c r="C51" s="449"/>
      <c r="D51" s="1223"/>
      <c r="E51" s="561">
        <v>1</v>
      </c>
      <c r="F51" s="74"/>
      <c r="G51" s="462" t="e">
        <f>IF($G$39&lt;$B$8,0,IF($G$39&gt;$B$27,0,VLOOKUP($H$49,$B$8:$Q$27,3)))</f>
        <v>#REF!</v>
      </c>
      <c r="H51" s="462" t="e">
        <f>IF($G$39&lt;$B$8,0,IF($G$39&gt;$B$27,0,VLOOKUP(G51,$D$8:$E$27,2)))</f>
        <v>#REF!</v>
      </c>
      <c r="I51" s="462" t="e">
        <f>IF($I$39&lt;$B$8,0,IF($I$39&gt;$B$27,0,VLOOKUP($J$49,$B$8:$Q$27,6)))</f>
        <v>#REF!</v>
      </c>
      <c r="J51" s="462" t="e">
        <f>IF($I$39&lt;$B$8,0,IF($I$39&gt;$B$27,0,VLOOKUP(I51,$D$8:$E$27,2)))</f>
        <v>#REF!</v>
      </c>
      <c r="K51" s="462" t="e">
        <f>IF($K$39&lt;$B$8,0,IF($K$39&gt;$B$27,0,VLOOKUP($L$49,$B$8:$Q$27,3)))</f>
        <v>#REF!</v>
      </c>
      <c r="L51" s="1173" t="e">
        <f>IF($K$39&lt;$B$8,0,IF($K$39&gt;$B$27,0,VLOOKUP(K51,$D$8:$E$27,2)))</f>
        <v>#REF!</v>
      </c>
      <c r="M51" s="1174"/>
      <c r="N51" s="460"/>
    </row>
    <row r="52" spans="2:14" ht="14.55" x14ac:dyDescent="0.25">
      <c r="B52" s="449"/>
      <c r="C52" s="449"/>
      <c r="D52" s="1223"/>
      <c r="E52" s="561">
        <v>2</v>
      </c>
      <c r="F52" s="74"/>
      <c r="G52" s="462" t="e">
        <f>IF($G$39&lt;$B$8,0,IF($G$39&gt;$B$27,0,VLOOKUP($H$49,$B$8:$Q$27,6)))</f>
        <v>#REF!</v>
      </c>
      <c r="H52" s="462" t="e">
        <f>IF($G$39&lt;$B$8,0,IF($G$39&gt;$B$27,0,VLOOKUP(G52,$G$8:$H$27,2)))</f>
        <v>#REF!</v>
      </c>
      <c r="I52" s="462" t="e">
        <f>IF($I$39&lt;$B$8,0,IF($I$39&gt;$B$27,0,VLOOKUP($J$49,$B$8:$Q$27,6)))</f>
        <v>#REF!</v>
      </c>
      <c r="J52" s="462" t="e">
        <f>IF($I$39&lt;$B$8,0,IF($I$39&gt;$B$27,0,VLOOKUP(I52,$G$8:$H$27,2)))</f>
        <v>#REF!</v>
      </c>
      <c r="K52" s="462" t="e">
        <f>IF($K$39&lt;$B$8,0,IF($K$39&gt;$B$27,0,VLOOKUP($L$49,$B$8:$Q$27,6)))</f>
        <v>#REF!</v>
      </c>
      <c r="L52" s="1173" t="e">
        <f>IF($K$39&lt;$B$8,0,IF($K$39&gt;$B$27,0,VLOOKUP(K52,$G$8:$H$27,2)))</f>
        <v>#REF!</v>
      </c>
      <c r="M52" s="1174"/>
      <c r="N52" s="460"/>
    </row>
    <row r="53" spans="2:14" ht="14.55" x14ac:dyDescent="0.25">
      <c r="B53" s="449"/>
      <c r="C53" s="449"/>
      <c r="D53" s="1223"/>
      <c r="E53" s="561">
        <v>3</v>
      </c>
      <c r="F53" s="74"/>
      <c r="G53" s="462" t="e">
        <f>IF($G$39&lt;$B$8,0,IF($G$39&gt;$B$27,0,VLOOKUP($H$49,$B$8:$Q$27,9)))</f>
        <v>#REF!</v>
      </c>
      <c r="H53" s="462" t="e">
        <f>IF($G$39&lt;$B$8,0,IF($G$39&gt;$B$27,0,VLOOKUP(G53,$J$8:$K$27,2)))</f>
        <v>#REF!</v>
      </c>
      <c r="I53" s="462" t="e">
        <f>IF($I$39&lt;$B$8,0,IF($I$39&gt;$B$27,0,VLOOKUP($J$49,$B$8:$Q$27,9)))</f>
        <v>#REF!</v>
      </c>
      <c r="J53" s="462" t="e">
        <f>IF($I$39&lt;$B$8,0,IF($I$39&gt;$B$27,0,VLOOKUP(I53,$J$8:$K$27,2)))</f>
        <v>#REF!</v>
      </c>
      <c r="K53" s="462" t="e">
        <f>IF($K$39&lt;$B$8,0,IF($K$39&gt;$B$27,0,VLOOKUP($L$49,$B$8:$Q$27,9)))</f>
        <v>#REF!</v>
      </c>
      <c r="L53" s="1173" t="e">
        <f>IF($K$39&lt;$B$8,0,IF($K$39&gt;$B$27,0,VLOOKUP(K53,$J$8:$K$27,2)))</f>
        <v>#REF!</v>
      </c>
      <c r="M53" s="1174"/>
      <c r="N53" s="460"/>
    </row>
    <row r="54" spans="2:14" ht="14.55" x14ac:dyDescent="0.25">
      <c r="B54" s="449"/>
      <c r="C54" s="449"/>
      <c r="D54" s="1223"/>
      <c r="E54" s="561">
        <v>4</v>
      </c>
      <c r="F54" s="74"/>
      <c r="G54" s="462" t="e">
        <f>IF($G$39&lt;$B$8,0,IF($G$39&gt;$B$27,0,VLOOKUP($H$49,$B$8:$Q$27,12)))</f>
        <v>#REF!</v>
      </c>
      <c r="H54" s="462" t="e">
        <f>IF($G$39&lt;$B$8,0,IF($G$39&gt;$B$27,0,VLOOKUP(G54,$M$8:$N$27,2)))</f>
        <v>#REF!</v>
      </c>
      <c r="I54" s="462" t="e">
        <f>IF($I$39&lt;$B$8,0,IF($I$39&gt;$B$27,0,VLOOKUP($J$49,$B$8:$Q$27,12)))</f>
        <v>#REF!</v>
      </c>
      <c r="J54" s="462" t="e">
        <f>IF($I$39&lt;$B$8,0,IF($I$39&gt;$B$27,0,VLOOKUP(I54,$M$8:$N$27,2)))</f>
        <v>#REF!</v>
      </c>
      <c r="K54" s="462" t="e">
        <f>IF($K$39&lt;$B$8,0,IF($K$39&gt;$B$27,0,VLOOKUP($L$49,$B$8:$Q$27,12)))</f>
        <v>#REF!</v>
      </c>
      <c r="L54" s="1173" t="e">
        <f>IF($K$39&lt;$B$8,0,IF($K$39&gt;$B$27,0,VLOOKUP(K54,$M$8:$N$27,2)))</f>
        <v>#REF!</v>
      </c>
      <c r="M54" s="1174"/>
      <c r="N54" s="460"/>
    </row>
    <row r="55" spans="2:14" ht="14.55" x14ac:dyDescent="0.25">
      <c r="B55" s="449"/>
      <c r="C55" s="449"/>
      <c r="D55" s="1224"/>
      <c r="E55" s="561">
        <v>5</v>
      </c>
      <c r="F55" s="74"/>
      <c r="G55" s="462" t="e">
        <f>IF($G$39&lt;$B$8,0,IF($G$39&gt;$B$27,0,VLOOKUP($H$49,$B$8:$Q$27,15)))</f>
        <v>#REF!</v>
      </c>
      <c r="H55" s="462" t="e">
        <f>IF($G$39&lt;$B$8,0,IF($G$39&gt;$B$27,0,VLOOKUP(G55,$P$8:$Q$27,2)))</f>
        <v>#REF!</v>
      </c>
      <c r="I55" s="462" t="e">
        <f>IF($I$39&lt;$B$8,0,IF($I$39&gt;$B$27,0,VLOOKUP($J$49,$B$8:$Q$27,15)))</f>
        <v>#REF!</v>
      </c>
      <c r="J55" s="462" t="e">
        <f>IF($I$39&lt;$B$8,0,IF($I$39&gt;$B$27,0,VLOOKUP(I55,$P$8:$Q$27,2)))</f>
        <v>#REF!</v>
      </c>
      <c r="K55" s="462" t="e">
        <f>IF($K$39&lt;$B$8,0,IF($K$39&gt;$B$27,0,VLOOKUP($L$49,$B$8:$Q$27,15)))</f>
        <v>#REF!</v>
      </c>
      <c r="L55" s="1173" t="e">
        <f>IF($K$39&lt;$B$8,0,IF($K$39&gt;$B$27,0,VLOOKUP(K55,$P$8:$Q$27,2)))</f>
        <v>#REF!</v>
      </c>
      <c r="M55" s="1174"/>
      <c r="N55" s="460"/>
    </row>
    <row r="56" spans="2:14" ht="14.55" x14ac:dyDescent="0.25">
      <c r="B56" s="396"/>
      <c r="C56" s="396"/>
      <c r="D56" s="396"/>
      <c r="E56" s="74"/>
      <c r="F56" s="74"/>
      <c r="G56" s="528"/>
      <c r="H56" s="465"/>
    </row>
    <row r="57" spans="2:14" ht="14.55" x14ac:dyDescent="0.25">
      <c r="C57" s="449"/>
      <c r="D57" s="1222" t="s">
        <v>350</v>
      </c>
      <c r="E57" s="1171" t="s">
        <v>337</v>
      </c>
      <c r="F57" s="74"/>
      <c r="G57" s="461" t="s">
        <v>349</v>
      </c>
      <c r="H57" s="462" t="e" cm="1">
        <f t="array" ref="H57">IF($G$39&lt;$B$8,0,IF(G39&gt;B27,0,INDEX(B8:B27,MATCH(G39,B8:B27,1)+1,1)))</f>
        <v>#REF!</v>
      </c>
      <c r="I57" s="461" t="s">
        <v>349</v>
      </c>
      <c r="J57" s="462" t="e">
        <f>IF(I39&lt;25000,0,IF(I39&gt;25000000,0,INDEX(B8:B27,MATCH(I39,B8:B27,1)+1,1)))</f>
        <v>#REF!</v>
      </c>
      <c r="K57" s="461" t="s">
        <v>349</v>
      </c>
      <c r="L57" s="1175" t="e" cm="1">
        <f t="array" ref="L57">IF($K$39&lt;$B$8,0,IF($K$39&gt;$B$27,0,INDEX(B8:B27,MATCH(K39,B8:B27,1)+1,1)))</f>
        <v>#REF!</v>
      </c>
      <c r="M57" s="1176"/>
      <c r="N57" s="460"/>
    </row>
    <row r="58" spans="2:14" ht="14.55" x14ac:dyDescent="0.25">
      <c r="B58" s="449"/>
      <c r="C58" s="449"/>
      <c r="D58" s="1223"/>
      <c r="E58" s="1172"/>
      <c r="F58" s="74"/>
      <c r="G58" s="463" t="s">
        <v>148</v>
      </c>
      <c r="H58" s="464" t="s">
        <v>342</v>
      </c>
      <c r="I58" s="463" t="s">
        <v>148</v>
      </c>
      <c r="J58" s="464" t="s">
        <v>342</v>
      </c>
      <c r="K58" s="463" t="s">
        <v>148</v>
      </c>
      <c r="L58" s="1177" t="s">
        <v>342</v>
      </c>
      <c r="M58" s="1178"/>
      <c r="N58" s="465"/>
    </row>
    <row r="59" spans="2:14" ht="14.55" x14ac:dyDescent="0.25">
      <c r="B59" s="449"/>
      <c r="C59" s="449"/>
      <c r="D59" s="1223"/>
      <c r="E59" s="561">
        <v>1</v>
      </c>
      <c r="F59" s="74"/>
      <c r="G59" s="462" t="e">
        <f>IF($G$39&lt;$B$8,0,IF($G$39&gt;$B$27,0,VLOOKUP($H$57,$B$8:$Q$27,3)))</f>
        <v>#REF!</v>
      </c>
      <c r="H59" s="462" t="e">
        <f>IF($G$39&lt;$B$8,0,IF($G$39&gt;$B$27,0,VLOOKUP(G59,$D$8:$E$27,2)))</f>
        <v>#REF!</v>
      </c>
      <c r="I59" s="462" t="e">
        <f>IF($I$39&lt;$B$8,0,IF($I$39&gt;$B$27,0,VLOOKUP($J$57,$B$8:$Q$27,3)))</f>
        <v>#REF!</v>
      </c>
      <c r="J59" s="462" t="e">
        <f>IF($I$39&lt;$B$8,0,IF($I$39&gt;$B$27,0,VLOOKUP(I59,$D$8:$E$27,2)))</f>
        <v>#REF!</v>
      </c>
      <c r="K59" s="462" t="e">
        <f>IF($K$39&lt;$B$8,0,IF($K$39&gt;$B$27,0,VLOOKUP($L$57,$B$8:$Q$27,3)))</f>
        <v>#REF!</v>
      </c>
      <c r="L59" s="1173" t="e">
        <f>IF($K$39&lt;$B$8,0,IF($K$39&gt;$B$27,0,VLOOKUP(K59,$D$8:$E$27,2)))</f>
        <v>#REF!</v>
      </c>
      <c r="M59" s="1174"/>
      <c r="N59" s="460"/>
    </row>
    <row r="60" spans="2:14" ht="14.55" x14ac:dyDescent="0.25">
      <c r="B60" s="449"/>
      <c r="C60" s="449"/>
      <c r="D60" s="1223"/>
      <c r="E60" s="561">
        <v>2</v>
      </c>
      <c r="F60" s="74"/>
      <c r="G60" s="462" t="e">
        <f>IF($G$39&lt;$B$8,0,IF($G$39&gt;$B$27,0,VLOOKUP($H$57,$B$8:$Q$27,6)))</f>
        <v>#REF!</v>
      </c>
      <c r="H60" s="462" t="e">
        <f>IF($G$39&lt;$B$8,0,IF($G$39&gt;$B$27,0,VLOOKUP(G60,$G$8:$H$27,2)))</f>
        <v>#REF!</v>
      </c>
      <c r="I60" s="462" t="e">
        <f>IF($I$39&lt;$B$8,0,IF($I$39&gt;$B$27,0,VLOOKUP($J$57,$B$8:$Q$27,6)))</f>
        <v>#REF!</v>
      </c>
      <c r="J60" s="462" t="e">
        <f>IF($I$39&lt;$B$8,0,IF($I$39&gt;$B$27,0,VLOOKUP(I60,$G$8:$H$27,2)))</f>
        <v>#REF!</v>
      </c>
      <c r="K60" s="462" t="e">
        <f>IF($K$39&lt;$B$8,0,IF($K$39&gt;$B$27,0,VLOOKUP($L$57,$B$8:$Q$27,6)))</f>
        <v>#REF!</v>
      </c>
      <c r="L60" s="1173" t="e">
        <f>IF($K$39&lt;$B$8,0,IF($K$39&gt;$B$27,0,VLOOKUP(K60,$G$8:$H$27,2)))</f>
        <v>#REF!</v>
      </c>
      <c r="M60" s="1174"/>
      <c r="N60" s="460"/>
    </row>
    <row r="61" spans="2:14" ht="14.55" x14ac:dyDescent="0.25">
      <c r="B61" s="449"/>
      <c r="C61" s="449"/>
      <c r="D61" s="1223"/>
      <c r="E61" s="561">
        <v>3</v>
      </c>
      <c r="F61" s="74"/>
      <c r="G61" s="462" t="e">
        <f>IF($G$39&lt;$B$8,0,IF($G$39&gt;$B$27,0,VLOOKUP($H$57,$B$8:$Q$27,9)))</f>
        <v>#REF!</v>
      </c>
      <c r="H61" s="462" t="e">
        <f>IF($G$39&lt;$B$8,0,IF($G$39&gt;$B$27,0,VLOOKUP(G61,$J$8:$K$27,2)))</f>
        <v>#REF!</v>
      </c>
      <c r="I61" s="462" t="e">
        <f>IF($I$39&lt;$B$8,0,IF($I$39&gt;$B$27,0,VLOOKUP($J$57,$B$8:$Q$27,9)))</f>
        <v>#REF!</v>
      </c>
      <c r="J61" s="462" t="e">
        <f>IF($I$39&lt;$B$8,0,IF($I$39&gt;$B$27,0,VLOOKUP(I61,$J$8:$K$27,2)))</f>
        <v>#REF!</v>
      </c>
      <c r="K61" s="462" t="e">
        <f>IF($K$39&lt;$B$8,0,IF($K$39&gt;$B$27,0,VLOOKUP($L$57,$B$8:$Q$27,9)))</f>
        <v>#REF!</v>
      </c>
      <c r="L61" s="1173" t="e">
        <f>IF($K$39&lt;$B$8,0,IF($K$39&gt;$B$27,0,VLOOKUP(K61,$J$8:$K$27,2)))</f>
        <v>#REF!</v>
      </c>
      <c r="M61" s="1174"/>
      <c r="N61" s="460"/>
    </row>
    <row r="62" spans="2:14" ht="14.55" x14ac:dyDescent="0.25">
      <c r="B62" s="449"/>
      <c r="C62" s="449"/>
      <c r="D62" s="1223"/>
      <c r="E62" s="561">
        <v>4</v>
      </c>
      <c r="F62" s="74"/>
      <c r="G62" s="462" t="e">
        <f>IF($G$39&lt;$B$8,0,IF($G$39&gt;$B$27,0,VLOOKUP($H$57,$B$8:$Q$27,12)))</f>
        <v>#REF!</v>
      </c>
      <c r="H62" s="462" t="e">
        <f>IF($G$39&lt;$B$8,0,IF($G$39&gt;$B$27,0,VLOOKUP(G62,$M$8:$N$27,2)))</f>
        <v>#REF!</v>
      </c>
      <c r="I62" s="462" t="e">
        <f>IF($I$39&lt;$B$8,0,IF($I$39&gt;$B$27,0,VLOOKUP($J$57,$B$8:$Q$27,12)))</f>
        <v>#REF!</v>
      </c>
      <c r="J62" s="462" t="e">
        <f>IF($I$39&lt;$B$8,0,IF($I$39&gt;$B$27,0,VLOOKUP(I62,$M$8:$N$27,2)))</f>
        <v>#REF!</v>
      </c>
      <c r="K62" s="462" t="e">
        <f>IF($K$39&lt;$B$8,0,IF($K$39&gt;$B$27,0,VLOOKUP($L$57,$B$8:$Q$27,12)))</f>
        <v>#REF!</v>
      </c>
      <c r="L62" s="1173" t="e">
        <f>IF($K$39&lt;$B$8,0,IF($K$39&gt;$B$27,0,VLOOKUP(K62,$M$8:$N$27,2)))</f>
        <v>#REF!</v>
      </c>
      <c r="M62" s="1174"/>
      <c r="N62" s="460"/>
    </row>
    <row r="63" spans="2:14" ht="14.55" x14ac:dyDescent="0.25">
      <c r="B63" s="449"/>
      <c r="C63" s="449"/>
      <c r="D63" s="1224"/>
      <c r="E63" s="561">
        <v>5</v>
      </c>
      <c r="F63" s="74"/>
      <c r="G63" s="462" t="e">
        <f>IF($G$39&lt;$B$8,0,IF($G$39&gt;$B$27,0,VLOOKUP($H$57,$B$8:$Q$27,15)))</f>
        <v>#REF!</v>
      </c>
      <c r="H63" s="462" t="e">
        <f>IF($G$39&lt;$B$8,0,IF($G$39&gt;$B$27,0,VLOOKUP(G63,$P$8:$Q$27,2)))</f>
        <v>#REF!</v>
      </c>
      <c r="I63" s="462" t="e">
        <f>IF($I$39&lt;$B$8,0,IF($I$39&gt;$B$27,0,VLOOKUP($J$57,$B$8:$Q$27,15)))</f>
        <v>#REF!</v>
      </c>
      <c r="J63" s="462" t="e">
        <f>IF($I$39&lt;$B$8,0,IF($I$39&gt;$B$27,0,VLOOKUP(I63,$P$8:$Q$27,2)))</f>
        <v>#REF!</v>
      </c>
      <c r="K63" s="462" t="e">
        <f>IF($K$39&lt;$B$8,0,IF($K$39&gt;$B$27,0,VLOOKUP($L$57,$B$8:$Q$27,15)))</f>
        <v>#REF!</v>
      </c>
      <c r="L63" s="1173" t="e">
        <f>IF($K$39&lt;$B$8,0,IF($K$39&gt;$B$27,0,VLOOKUP(K63,$P$8:$Q$27,2)))</f>
        <v>#REF!</v>
      </c>
      <c r="M63" s="1174"/>
      <c r="N63" s="460"/>
    </row>
    <row r="64" spans="2:14" x14ac:dyDescent="0.25">
      <c r="E64" s="73" t="s">
        <v>490</v>
      </c>
    </row>
    <row r="65" spans="2:14" x14ac:dyDescent="0.25">
      <c r="B65" s="383" t="s">
        <v>351</v>
      </c>
    </row>
    <row r="67" spans="2:14" ht="14.55" x14ac:dyDescent="0.25">
      <c r="B67" s="396"/>
      <c r="C67" s="396"/>
      <c r="D67" s="396"/>
      <c r="E67" s="74"/>
      <c r="F67" s="74"/>
      <c r="G67" s="463" t="s">
        <v>148</v>
      </c>
      <c r="H67" s="464" t="s">
        <v>342</v>
      </c>
      <c r="I67" s="463" t="s">
        <v>148</v>
      </c>
      <c r="J67" s="464" t="s">
        <v>342</v>
      </c>
      <c r="K67" s="463" t="s">
        <v>148</v>
      </c>
      <c r="L67" s="1188" t="s">
        <v>342</v>
      </c>
      <c r="M67" s="1188"/>
      <c r="N67" s="465"/>
    </row>
    <row r="68" spans="2:14" ht="14.55" x14ac:dyDescent="0.25">
      <c r="B68" s="1238" t="s">
        <v>348</v>
      </c>
      <c r="C68" s="1238"/>
      <c r="D68" s="1238"/>
      <c r="E68" s="1238"/>
      <c r="F68" s="74"/>
      <c r="G68" s="468" t="e">
        <f>VLOOKUP($G$43,$E$51:$H$55,3)</f>
        <v>#REF!</v>
      </c>
      <c r="H68" s="468" t="e">
        <f>VLOOKUP(G43,$E$51:$H$55,4)</f>
        <v>#REF!</v>
      </c>
      <c r="I68" s="468" t="e">
        <f>VLOOKUP($G$43,$E$51:$J$55,5)</f>
        <v>#REF!</v>
      </c>
      <c r="J68" s="468" t="e">
        <f>VLOOKUP(G43,$E$51:$J$55,6)</f>
        <v>#REF!</v>
      </c>
      <c r="K68" s="468" t="e">
        <f>VLOOKUP($G$43,$E$51:$K$55,7)</f>
        <v>#REF!</v>
      </c>
      <c r="L68" s="1164" t="e">
        <f>VLOOKUP(G43,$E$51:$M$55,8)</f>
        <v>#REF!</v>
      </c>
      <c r="M68" s="1164"/>
      <c r="N68" s="469"/>
    </row>
    <row r="69" spans="2:14" ht="14.55" x14ac:dyDescent="0.25">
      <c r="B69" s="1238" t="s">
        <v>350</v>
      </c>
      <c r="C69" s="1238"/>
      <c r="D69" s="1238"/>
      <c r="E69" s="1238"/>
      <c r="F69" s="74"/>
      <c r="G69" s="468" t="e">
        <f>VLOOKUP($G$43,$E$59:$H$63,3)</f>
        <v>#REF!</v>
      </c>
      <c r="H69" s="468" t="e">
        <f>VLOOKUP(G43,$E$59:$H$63,4)</f>
        <v>#REF!</v>
      </c>
      <c r="I69" s="468" t="e">
        <f>VLOOKUP($G$43,$E$59:$J$63,5)</f>
        <v>#REF!</v>
      </c>
      <c r="J69" s="468" t="e">
        <f>VLOOKUP(G43,$E$59:$K$63,6)</f>
        <v>#REF!</v>
      </c>
      <c r="K69" s="468" t="e">
        <f>VLOOKUP($G$43,$E$59:$K$63,7)</f>
        <v>#REF!</v>
      </c>
      <c r="L69" s="1164" t="e">
        <f>VLOOKUP(G43,$E$59:$M$63,8)</f>
        <v>#REF!</v>
      </c>
      <c r="M69" s="1164"/>
      <c r="N69" s="469"/>
    </row>
    <row r="70" spans="2:14" ht="14.55" x14ac:dyDescent="0.25">
      <c r="B70" s="1245" t="s">
        <v>352</v>
      </c>
      <c r="C70" s="1246"/>
      <c r="D70" s="1246"/>
      <c r="E70" s="1247"/>
      <c r="F70" s="74"/>
      <c r="G70" s="529" t="e">
        <f t="shared" ref="G70:L70" si="2">G69-G68</f>
        <v>#REF!</v>
      </c>
      <c r="H70" s="529" t="e">
        <f t="shared" si="2"/>
        <v>#REF!</v>
      </c>
      <c r="I70" s="529" t="e">
        <f t="shared" si="2"/>
        <v>#REF!</v>
      </c>
      <c r="J70" s="529" t="e">
        <f t="shared" si="2"/>
        <v>#REF!</v>
      </c>
      <c r="K70" s="529" t="e">
        <f t="shared" si="2"/>
        <v>#REF!</v>
      </c>
      <c r="L70" s="1189" t="e">
        <f t="shared" si="2"/>
        <v>#REF!</v>
      </c>
      <c r="M70" s="1189"/>
      <c r="N70" s="530"/>
    </row>
    <row r="71" spans="2:14" ht="14.55" x14ac:dyDescent="0.25">
      <c r="B71" s="1238" t="s">
        <v>353</v>
      </c>
      <c r="C71" s="1238"/>
      <c r="D71" s="1238"/>
      <c r="E71" s="1238"/>
      <c r="F71" s="74"/>
      <c r="G71" s="529" t="e">
        <f>G39-H49</f>
        <v>#REF!</v>
      </c>
      <c r="H71" s="472" t="e">
        <f>G43</f>
        <v>#REF!</v>
      </c>
      <c r="I71" s="529" t="e">
        <f>I39-J49</f>
        <v>#REF!</v>
      </c>
      <c r="J71" s="472" t="e">
        <f>G43</f>
        <v>#REF!</v>
      </c>
      <c r="K71" s="529" t="e">
        <f>K39-L49</f>
        <v>#REF!</v>
      </c>
      <c r="L71" s="1190" t="e">
        <f>G43</f>
        <v>#REF!</v>
      </c>
      <c r="M71" s="1190"/>
      <c r="N71" s="531"/>
    </row>
    <row r="74" spans="2:14" x14ac:dyDescent="0.25">
      <c r="B74" s="383" t="s">
        <v>354</v>
      </c>
    </row>
    <row r="76" spans="2:14" ht="14.55" x14ac:dyDescent="0.25">
      <c r="B76" s="74"/>
      <c r="C76" s="74"/>
      <c r="D76" s="465"/>
      <c r="E76" s="74"/>
      <c r="F76" s="465"/>
      <c r="G76" s="463" t="s">
        <v>148</v>
      </c>
      <c r="H76" s="464" t="s">
        <v>342</v>
      </c>
      <c r="I76" s="463" t="s">
        <v>148</v>
      </c>
      <c r="J76" s="464" t="s">
        <v>342</v>
      </c>
      <c r="K76" s="463" t="s">
        <v>148</v>
      </c>
      <c r="L76" s="1188" t="s">
        <v>342</v>
      </c>
      <c r="M76" s="1188"/>
      <c r="N76" s="465"/>
    </row>
    <row r="77" spans="2:14" ht="14.55" x14ac:dyDescent="0.25">
      <c r="B77" s="1238" t="s">
        <v>355</v>
      </c>
      <c r="C77" s="1238"/>
      <c r="D77" s="1238"/>
      <c r="E77" s="1238"/>
      <c r="F77" s="473"/>
      <c r="G77" s="468" t="e">
        <f t="shared" ref="G77:L77" si="3">G68</f>
        <v>#REF!</v>
      </c>
      <c r="H77" s="468" t="e">
        <f t="shared" si="3"/>
        <v>#REF!</v>
      </c>
      <c r="I77" s="468" t="e">
        <f t="shared" si="3"/>
        <v>#REF!</v>
      </c>
      <c r="J77" s="468" t="e">
        <f t="shared" si="3"/>
        <v>#REF!</v>
      </c>
      <c r="K77" s="468" t="e">
        <f t="shared" si="3"/>
        <v>#REF!</v>
      </c>
      <c r="L77" s="1164" t="e">
        <f t="shared" si="3"/>
        <v>#REF!</v>
      </c>
      <c r="M77" s="1164"/>
      <c r="N77" s="469"/>
    </row>
    <row r="78" spans="2:14" ht="14.55" x14ac:dyDescent="0.25">
      <c r="B78" s="1238" t="s">
        <v>356</v>
      </c>
      <c r="C78" s="1238"/>
      <c r="D78" s="1238"/>
      <c r="E78" s="1238"/>
      <c r="F78" s="473"/>
      <c r="G78" s="468" t="e">
        <f>G71</f>
        <v>#REF!</v>
      </c>
      <c r="H78" s="468" t="e">
        <f>G71</f>
        <v>#REF!</v>
      </c>
      <c r="I78" s="468" t="e">
        <f>I71</f>
        <v>#REF!</v>
      </c>
      <c r="J78" s="468" t="e">
        <f>I71</f>
        <v>#REF!</v>
      </c>
      <c r="K78" s="468" t="e">
        <f>K71</f>
        <v>#REF!</v>
      </c>
      <c r="L78" s="1164" t="e">
        <f>K71</f>
        <v>#REF!</v>
      </c>
      <c r="M78" s="1164"/>
      <c r="N78" s="469"/>
    </row>
    <row r="79" spans="2:14" ht="14.55" x14ac:dyDescent="0.25">
      <c r="B79" s="1238" t="s">
        <v>357</v>
      </c>
      <c r="C79" s="1238"/>
      <c r="D79" s="1238"/>
      <c r="E79" s="1238"/>
      <c r="F79" s="473"/>
      <c r="G79" s="468" t="e">
        <f t="shared" ref="G79:L79" si="4">G70</f>
        <v>#REF!</v>
      </c>
      <c r="H79" s="468" t="e">
        <f t="shared" si="4"/>
        <v>#REF!</v>
      </c>
      <c r="I79" s="468" t="e">
        <f t="shared" si="4"/>
        <v>#REF!</v>
      </c>
      <c r="J79" s="468" t="e">
        <f t="shared" si="4"/>
        <v>#REF!</v>
      </c>
      <c r="K79" s="468" t="e">
        <f t="shared" si="4"/>
        <v>#REF!</v>
      </c>
      <c r="L79" s="1164" t="e">
        <f t="shared" si="4"/>
        <v>#REF!</v>
      </c>
      <c r="M79" s="1164"/>
      <c r="N79" s="469"/>
    </row>
    <row r="80" spans="2:14" ht="14.55" x14ac:dyDescent="0.25">
      <c r="B80" s="1238" t="s">
        <v>358</v>
      </c>
      <c r="C80" s="1238"/>
      <c r="D80" s="1238"/>
      <c r="E80" s="1238"/>
      <c r="F80" s="473"/>
      <c r="G80" s="468" t="e">
        <f>H57-H49</f>
        <v>#REF!</v>
      </c>
      <c r="H80" s="468" t="e">
        <f>H57-H49</f>
        <v>#REF!</v>
      </c>
      <c r="I80" s="468" t="e">
        <f>J57-J49</f>
        <v>#REF!</v>
      </c>
      <c r="J80" s="468" t="e">
        <f>J57-J49</f>
        <v>#REF!</v>
      </c>
      <c r="K80" s="468" t="e">
        <f>L57-L49</f>
        <v>#REF!</v>
      </c>
      <c r="L80" s="1164" t="e">
        <f>L57-L49</f>
        <v>#REF!</v>
      </c>
      <c r="M80" s="1164"/>
      <c r="N80" s="469"/>
    </row>
    <row r="81" spans="2:22" ht="15.2" thickBot="1" x14ac:dyDescent="0.3">
      <c r="B81" s="74"/>
      <c r="C81" s="74"/>
      <c r="D81" s="74"/>
      <c r="E81" s="460"/>
      <c r="F81" s="460"/>
      <c r="G81" s="474"/>
      <c r="H81" s="74"/>
    </row>
    <row r="82" spans="2:22" ht="14.55" x14ac:dyDescent="0.25">
      <c r="B82" s="392"/>
      <c r="C82" s="1188"/>
      <c r="D82" s="387" t="s">
        <v>148</v>
      </c>
      <c r="E82" s="393"/>
      <c r="F82" s="469"/>
      <c r="G82" s="74"/>
      <c r="H82" s="476" t="e">
        <f>IF(G80=0,0,G77+((G78*G79)/G80))</f>
        <v>#REF!</v>
      </c>
      <c r="J82" s="476" t="e">
        <f>IF(I80=0,0,I77+((I78*I79)/I80))</f>
        <v>#REF!</v>
      </c>
      <c r="L82" s="1165" t="e">
        <f>IF(K80=0,0,K77+((K78*K79)/K80))</f>
        <v>#REF!</v>
      </c>
      <c r="M82" s="1166"/>
      <c r="N82" s="469"/>
    </row>
    <row r="83" spans="2:22" ht="14.55" x14ac:dyDescent="0.25">
      <c r="B83" s="394" t="s">
        <v>359</v>
      </c>
      <c r="C83" s="1188"/>
      <c r="D83" s="387" t="s">
        <v>339</v>
      </c>
      <c r="E83" s="393"/>
      <c r="F83" s="469"/>
      <c r="G83" s="74"/>
      <c r="H83" s="477" t="e">
        <f>((H86-H82)*0.25)+H82</f>
        <v>#REF!</v>
      </c>
      <c r="J83" s="477" t="e">
        <f>((J86-J82)*0.25)+J82</f>
        <v>#REF!</v>
      </c>
      <c r="L83" s="1167" t="e">
        <f>((L86-L82)*0.25)+L82</f>
        <v>#REF!</v>
      </c>
      <c r="M83" s="1168"/>
      <c r="N83" s="469"/>
    </row>
    <row r="84" spans="2:22" ht="14.55" x14ac:dyDescent="0.25">
      <c r="B84" s="394"/>
      <c r="C84" s="1188"/>
      <c r="D84" s="387" t="s">
        <v>340</v>
      </c>
      <c r="E84" s="393"/>
      <c r="F84" s="469"/>
      <c r="G84" s="74"/>
      <c r="H84" s="477" t="e">
        <f>(H86+H82)/2</f>
        <v>#REF!</v>
      </c>
      <c r="J84" s="477" t="e">
        <f>(J86+J82)/2</f>
        <v>#REF!</v>
      </c>
      <c r="L84" s="1167" t="e">
        <f>(L86+L82)/2</f>
        <v>#REF!</v>
      </c>
      <c r="M84" s="1168"/>
      <c r="N84" s="469"/>
    </row>
    <row r="85" spans="2:22" ht="14.55" x14ac:dyDescent="0.25">
      <c r="B85" s="394" t="s">
        <v>360</v>
      </c>
      <c r="C85" s="1188"/>
      <c r="D85" s="387" t="s">
        <v>341</v>
      </c>
      <c r="E85" s="393"/>
      <c r="F85" s="469"/>
      <c r="G85" s="74"/>
      <c r="H85" s="477" t="e">
        <f>((H86-H82)*0.75)+H82</f>
        <v>#REF!</v>
      </c>
      <c r="J85" s="477" t="e">
        <f>((J86-J82)*0.75)+J82</f>
        <v>#REF!</v>
      </c>
      <c r="L85" s="1167" t="e">
        <f>((L86-L82)*0.75)+L82</f>
        <v>#REF!</v>
      </c>
      <c r="M85" s="1168"/>
      <c r="N85" s="469"/>
    </row>
    <row r="86" spans="2:22" ht="15.2" thickBot="1" x14ac:dyDescent="0.3">
      <c r="B86" s="395"/>
      <c r="C86" s="1188"/>
      <c r="D86" s="387" t="s">
        <v>342</v>
      </c>
      <c r="E86" s="393"/>
      <c r="F86" s="469"/>
      <c r="G86" s="74"/>
      <c r="H86" s="478" t="e">
        <f>IF(H80=0,0,H77+((H78*H79)/H80))</f>
        <v>#REF!</v>
      </c>
      <c r="J86" s="478" t="e">
        <f>IF(J80=0,0,J77+((J78*J79)/J80))</f>
        <v>#REF!</v>
      </c>
      <c r="L86" s="1169" t="e">
        <f>IF(L80=0,0,L77+((L78*L79)/L80))</f>
        <v>#REF!</v>
      </c>
      <c r="M86" s="1170"/>
      <c r="N86" s="469"/>
    </row>
    <row r="88" spans="2:22" ht="15.2" thickBot="1" x14ac:dyDescent="0.35">
      <c r="B88" s="74"/>
      <c r="C88" s="74"/>
      <c r="D88" s="74"/>
      <c r="E88" s="74"/>
      <c r="F88" s="74"/>
      <c r="G88" s="1179" t="s">
        <v>343</v>
      </c>
      <c r="H88" s="1179"/>
      <c r="I88" s="1180" t="s">
        <v>344</v>
      </c>
      <c r="J88" s="1180"/>
      <c r="K88" s="1185" t="s">
        <v>345</v>
      </c>
      <c r="L88" s="1185"/>
      <c r="M88" s="1185"/>
      <c r="N88" s="449"/>
    </row>
    <row r="89" spans="2:22" ht="15.2" thickBot="1" x14ac:dyDescent="0.3">
      <c r="B89" s="1227" t="s">
        <v>361</v>
      </c>
      <c r="C89" s="1228"/>
      <c r="D89" s="1228"/>
      <c r="E89" s="1229"/>
      <c r="F89" s="74"/>
      <c r="G89" s="479" t="e">
        <f>G43</f>
        <v>#REF!</v>
      </c>
      <c r="H89" s="480" t="e">
        <f>IF($G$44="Basishonorarsatz",H82,IF($G$44="Viertelsatz",H83,IF($G$44="Mittelsatz",H84,IF($G$44="Dreiviertelsatz",H85,H86))))</f>
        <v>#REF!</v>
      </c>
      <c r="I89" s="532"/>
      <c r="J89" s="533" t="e">
        <f>IF($G$44="Basishonorarsatz",J82,IF($G$44="Viertelsatz",J83,IF($G$44="Mittelsatz",J84,IF($G$44="Dreiviertelsatz",J85,J86))))</f>
        <v>#REF!</v>
      </c>
      <c r="K89" s="532"/>
      <c r="L89" s="1235" t="e">
        <f>IF($G$44="Basishonorarsatz",L82,IF($G$44="Viertelsatz",L83,IF($G$44="Mittelsatz",L84,IF($G$44="Dreiviertelsatz",L85,L86))))</f>
        <v>#REF!</v>
      </c>
      <c r="M89" s="1236"/>
      <c r="N89" s="534"/>
    </row>
    <row r="90" spans="2:22" ht="14.55" thickBot="1" x14ac:dyDescent="0.3">
      <c r="B90" s="73" t="s">
        <v>125</v>
      </c>
    </row>
    <row r="91" spans="2:22" ht="15" customHeight="1" thickBot="1" x14ac:dyDescent="0.3">
      <c r="B91" s="73" t="s">
        <v>362</v>
      </c>
      <c r="G91" s="487"/>
      <c r="H91" s="1267" t="s">
        <v>363</v>
      </c>
      <c r="I91" s="1268"/>
      <c r="J91" s="1268"/>
      <c r="K91" s="1269"/>
      <c r="L91" s="583"/>
      <c r="M91" s="584"/>
    </row>
    <row r="92" spans="2:22" ht="14.55" thickBot="1" x14ac:dyDescent="0.3">
      <c r="B92" s="73" t="s">
        <v>364</v>
      </c>
      <c r="G92" s="488"/>
      <c r="H92" s="1270" t="s">
        <v>487</v>
      </c>
      <c r="I92" s="1271"/>
      <c r="J92" s="1186" t="s">
        <v>366</v>
      </c>
      <c r="K92" s="1187"/>
      <c r="L92" s="543"/>
      <c r="M92" s="543"/>
      <c r="T92" s="383"/>
      <c r="U92" s="383"/>
      <c r="V92" s="383"/>
    </row>
    <row r="93" spans="2:22" ht="14.55" x14ac:dyDescent="0.3">
      <c r="B93" s="73" t="s">
        <v>369</v>
      </c>
      <c r="G93" s="489">
        <v>1</v>
      </c>
      <c r="H93" s="1272" t="e">
        <f>IF(#REF!="ja",#REF!,0)</f>
        <v>#REF!</v>
      </c>
      <c r="I93" s="1273"/>
      <c r="J93" s="1283" t="e">
        <f>IF(#REF!="ja",#REF!,0)</f>
        <v>#REF!</v>
      </c>
      <c r="K93" s="1284"/>
      <c r="L93" s="543" t="e">
        <f>H93+J93</f>
        <v>#REF!</v>
      </c>
      <c r="M93" s="543"/>
      <c r="T93" s="384"/>
      <c r="U93" s="384"/>
      <c r="V93" s="384"/>
    </row>
    <row r="94" spans="2:22" ht="14.55" x14ac:dyDescent="0.3">
      <c r="G94" s="491">
        <v>2</v>
      </c>
      <c r="H94" s="1158" t="e">
        <f>IF(#REF!="ja",#REF!,0)</f>
        <v>#REF!</v>
      </c>
      <c r="I94" s="1159"/>
      <c r="J94" s="1160" t="e">
        <f>IF(#REF!="ja",#REF!,0)</f>
        <v>#REF!</v>
      </c>
      <c r="K94" s="1161"/>
      <c r="L94" s="543" t="e">
        <f t="shared" ref="L94:L99" si="5">H94+J94</f>
        <v>#REF!</v>
      </c>
      <c r="M94" s="543"/>
      <c r="T94" s="385"/>
      <c r="U94" s="274"/>
      <c r="V94" s="385"/>
    </row>
    <row r="95" spans="2:22" ht="14.55" x14ac:dyDescent="0.3">
      <c r="B95" s="73" t="s">
        <v>125</v>
      </c>
      <c r="G95" s="491">
        <v>3</v>
      </c>
      <c r="H95" s="1158" t="e">
        <f>IF(#REF!="ja",#REF!,0)</f>
        <v>#REF!</v>
      </c>
      <c r="I95" s="1159"/>
      <c r="J95" s="1160" t="e">
        <f>IF(#REF!="ja",#REF!,0)</f>
        <v>#REF!</v>
      </c>
      <c r="K95" s="1161"/>
      <c r="L95" s="543" t="e">
        <f t="shared" si="5"/>
        <v>#REF!</v>
      </c>
      <c r="M95" s="543"/>
      <c r="T95" s="273"/>
      <c r="U95" s="274"/>
      <c r="V95" s="275"/>
    </row>
    <row r="96" spans="2:22" ht="14.55" x14ac:dyDescent="0.3">
      <c r="B96" s="73" t="s">
        <v>370</v>
      </c>
      <c r="G96" s="491">
        <v>4</v>
      </c>
      <c r="H96" s="1158" t="e">
        <f>IF(#REF!="ja",#REF!,0)</f>
        <v>#REF!</v>
      </c>
      <c r="I96" s="1159"/>
      <c r="J96" s="1160" t="e">
        <f>IF(#REF!="ja",#REF!,0)</f>
        <v>#REF!</v>
      </c>
      <c r="K96" s="1161"/>
      <c r="L96" s="543" t="e">
        <f t="shared" si="5"/>
        <v>#REF!</v>
      </c>
      <c r="M96" s="543"/>
      <c r="T96" s="273"/>
      <c r="U96" s="274"/>
      <c r="V96" s="275"/>
    </row>
    <row r="97" spans="2:22" ht="14.55" x14ac:dyDescent="0.3">
      <c r="G97" s="491" t="s">
        <v>371</v>
      </c>
      <c r="H97" s="1158" t="e">
        <f>IF(#REF!="ja",#REF!,0)</f>
        <v>#REF!</v>
      </c>
      <c r="I97" s="1159"/>
      <c r="J97" s="1160" t="e">
        <f>IF(#REF!="ja",#REF!,0)</f>
        <v>#REF!</v>
      </c>
      <c r="K97" s="1161"/>
      <c r="L97" s="543" t="e">
        <f t="shared" si="5"/>
        <v>#REF!</v>
      </c>
      <c r="M97" s="543"/>
      <c r="T97" s="273"/>
      <c r="U97" s="274"/>
      <c r="V97" s="275"/>
    </row>
    <row r="98" spans="2:22" ht="14.55" x14ac:dyDescent="0.3">
      <c r="G98" s="491" t="s">
        <v>372</v>
      </c>
      <c r="H98" s="1158" t="e">
        <f>IF(#REF!="ja",#REF!,0)</f>
        <v>#REF!</v>
      </c>
      <c r="I98" s="1159"/>
      <c r="J98" s="1160" t="e">
        <f>IF(#REF!="ja",#REF!,0)</f>
        <v>#REF!</v>
      </c>
      <c r="K98" s="1161"/>
      <c r="L98" s="543" t="e">
        <f t="shared" si="5"/>
        <v>#REF!</v>
      </c>
      <c r="M98" s="543"/>
      <c r="T98" s="273"/>
      <c r="U98" s="274"/>
      <c r="V98" s="275"/>
    </row>
    <row r="99" spans="2:22" ht="14.55" x14ac:dyDescent="0.3">
      <c r="G99" s="492">
        <v>6</v>
      </c>
      <c r="H99" s="1158" t="e">
        <f>IF(#REF!="ja",#REF!,0)</f>
        <v>#REF!</v>
      </c>
      <c r="I99" s="1159"/>
      <c r="J99" s="1160" t="e">
        <f>IF(#REF!="ja",#REF!,0)</f>
        <v>#REF!</v>
      </c>
      <c r="K99" s="1161"/>
      <c r="L99" s="543" t="e">
        <f t="shared" si="5"/>
        <v>#REF!</v>
      </c>
      <c r="M99" s="543"/>
      <c r="T99" s="273"/>
      <c r="U99" s="274"/>
      <c r="V99" s="275"/>
    </row>
    <row r="100" spans="2:22" ht="15.2" thickBot="1" x14ac:dyDescent="0.35">
      <c r="G100" s="585">
        <v>7</v>
      </c>
      <c r="H100" s="1158" t="e">
        <f>IF(#REF!="ja",#REF!,0)</f>
        <v>#REF!</v>
      </c>
      <c r="I100" s="1159"/>
      <c r="J100" s="1160" t="e">
        <f>IF(#REF!="ja",#REF!,0)</f>
        <v>#REF!</v>
      </c>
      <c r="K100" s="1161"/>
      <c r="L100" s="543"/>
      <c r="M100" s="543"/>
      <c r="T100" s="273"/>
      <c r="U100" s="274"/>
      <c r="V100" s="275"/>
    </row>
    <row r="101" spans="2:22" ht="15.2" thickBot="1" x14ac:dyDescent="0.35">
      <c r="G101" s="494" t="s">
        <v>377</v>
      </c>
      <c r="H101" s="1216" t="e">
        <f>SUM(H93:I100)</f>
        <v>#REF!</v>
      </c>
      <c r="I101" s="1217"/>
      <c r="J101" s="1220" t="e">
        <f>SUM(J93:K100)</f>
        <v>#REF!</v>
      </c>
      <c r="K101" s="1221"/>
      <c r="L101" s="564"/>
      <c r="M101" s="564"/>
      <c r="T101" s="273"/>
      <c r="U101" s="274"/>
      <c r="V101" s="275"/>
    </row>
    <row r="102" spans="2:22" ht="14.25" customHeight="1" thickBot="1" x14ac:dyDescent="0.35">
      <c r="G102" s="494" t="s">
        <v>488</v>
      </c>
      <c r="H102" s="1214" t="e">
        <f>H101*#REF!+H101</f>
        <v>#REF!</v>
      </c>
      <c r="I102" s="1215"/>
      <c r="J102" s="542"/>
      <c r="T102" s="273"/>
      <c r="U102" s="274"/>
      <c r="V102" s="275"/>
    </row>
    <row r="103" spans="2:22" ht="14.55" x14ac:dyDescent="0.3">
      <c r="K103" s="543"/>
      <c r="T103" s="273"/>
      <c r="U103" s="274"/>
      <c r="V103" s="275"/>
    </row>
    <row r="104" spans="2:22" ht="15.2" thickBot="1" x14ac:dyDescent="0.35">
      <c r="T104" s="273"/>
      <c r="U104" s="274"/>
      <c r="V104" s="275"/>
    </row>
    <row r="105" spans="2:22" ht="15.2" thickBot="1" x14ac:dyDescent="0.35">
      <c r="B105" s="497" t="s">
        <v>115</v>
      </c>
      <c r="C105" s="498" t="s">
        <v>306</v>
      </c>
      <c r="D105" s="499" t="s">
        <v>307</v>
      </c>
      <c r="E105" s="499" t="s">
        <v>308</v>
      </c>
      <c r="F105" s="499" t="s">
        <v>309</v>
      </c>
      <c r="G105" s="499" t="s">
        <v>310</v>
      </c>
      <c r="H105" s="499" t="s">
        <v>311</v>
      </c>
      <c r="I105" s="499"/>
      <c r="J105" s="499"/>
      <c r="K105" s="499"/>
      <c r="L105" s="499"/>
      <c r="M105" s="499" t="s">
        <v>316</v>
      </c>
      <c r="N105" s="499" t="s">
        <v>317</v>
      </c>
      <c r="O105" s="499"/>
      <c r="P105" s="499"/>
      <c r="Q105" s="586" t="s">
        <v>380</v>
      </c>
      <c r="T105" s="273"/>
      <c r="U105" s="274"/>
      <c r="V105" s="275"/>
    </row>
    <row r="106" spans="2:22" ht="14.55" x14ac:dyDescent="0.3">
      <c r="B106" s="501">
        <f>IF(Überblick!$H$53&gt;=1,1,"")</f>
        <v>1</v>
      </c>
      <c r="C106" s="587" t="e">
        <f>IF($B106=#REF!,#REF!*#REF!+#REF!+#REF!+#REF!+#REF!+#REF!,0)</f>
        <v>#REF!</v>
      </c>
      <c r="D106" s="547" t="e">
        <f>IF($B106=#REF!,#REF!*#REF!+#REF!+#REF!,0)</f>
        <v>#REF!</v>
      </c>
      <c r="E106" s="547" t="e">
        <f>IF($B106=#REF!,#REF!*#REF!+#REF!+#REF!,0)</f>
        <v>#REF!</v>
      </c>
      <c r="F106" s="547" t="e">
        <f>IF($B106=#REF!,#REF!*#REF!+#REF!+#REF!,0)</f>
        <v>#REF!</v>
      </c>
      <c r="G106" s="547" t="e">
        <f>IF($B106=#REF!,#REF!*#REF!+#REF!+#REF!+#REF!+#REF!,0)</f>
        <v>#REF!</v>
      </c>
      <c r="H106" s="547" t="e">
        <f>IF($B106=#REF!,#REF!*#REF!+#REF!+#REF!,0)</f>
        <v>#REF!</v>
      </c>
      <c r="I106" s="547"/>
      <c r="J106" s="547"/>
      <c r="K106" s="547"/>
      <c r="L106" s="547"/>
      <c r="M106" s="547" t="e">
        <f>IF($B106=#REF!,#REF!*#REF!+#REF!+#REF!,0)</f>
        <v>#REF!</v>
      </c>
      <c r="N106" s="547" t="e">
        <f>IF($B106=#REF!,#REF!*#REF!+#REF!+#REF!,0)</f>
        <v>#REF!</v>
      </c>
      <c r="O106" s="547"/>
      <c r="P106" s="547"/>
      <c r="Q106" s="588" t="e">
        <f>SUM(C106:P106)</f>
        <v>#REF!</v>
      </c>
      <c r="T106" s="273"/>
      <c r="U106" s="274"/>
      <c r="V106" s="275"/>
    </row>
    <row r="107" spans="2:22" ht="14.55" x14ac:dyDescent="0.3">
      <c r="B107" s="505">
        <f>IF(Überblick!$H$53&gt;=2,2,"")</f>
        <v>2</v>
      </c>
      <c r="C107" s="589" t="e">
        <f>IF($B107=#REF!,#REF!*#REF!+#REF!+#REF!+#REF!,0)</f>
        <v>#REF!</v>
      </c>
      <c r="D107" s="551" t="e">
        <f>IF($B107=#REF!,#REF!*#REF!+#REF!+#REF!,0)</f>
        <v>#REF!</v>
      </c>
      <c r="E107" s="551" t="e">
        <f>IF($B107=#REF!,#REF!*#REF!+#REF!+#REF!,0)</f>
        <v>#REF!</v>
      </c>
      <c r="F107" s="551" t="e">
        <f>IF($B107=#REF!,#REF!*#REF!+#REF!+#REF!,0)</f>
        <v>#REF!</v>
      </c>
      <c r="G107" s="551" t="e">
        <f>IF($B107=#REF!,#REF!*#REF!+#REF!+#REF!+#REF!+#REF!,0)</f>
        <v>#REF!</v>
      </c>
      <c r="H107" s="551" t="e">
        <f>IF($B107=#REF!,#REF!*#REF!+#REF!+#REF!,0)</f>
        <v>#REF!</v>
      </c>
      <c r="I107" s="551"/>
      <c r="J107" s="551"/>
      <c r="K107" s="551"/>
      <c r="L107" s="551"/>
      <c r="M107" s="551" t="e">
        <f>IF($B107=#REF!,#REF!*#REF!+#REF!+#REF!,0)</f>
        <v>#REF!</v>
      </c>
      <c r="N107" s="551" t="e">
        <f>IF($B107=#REF!,#REF!*#REF!+#REF!+#REF!,0)</f>
        <v>#REF!</v>
      </c>
      <c r="O107" s="551"/>
      <c r="P107" s="551"/>
      <c r="Q107" s="590" t="e">
        <f t="shared" ref="Q107:Q114" si="6">SUM(C107:P107)</f>
        <v>#REF!</v>
      </c>
      <c r="T107" s="273"/>
      <c r="U107" s="274"/>
      <c r="V107" s="275"/>
    </row>
    <row r="108" spans="2:22" ht="14.55" x14ac:dyDescent="0.3">
      <c r="B108" s="505">
        <f>IF(Überblick!$H$53&gt;=3,3,"")</f>
        <v>3</v>
      </c>
      <c r="C108" s="589" t="e">
        <f>IF($B108=#REF!,#REF!*#REF!+#REF!+#REF!+#REF!,0)</f>
        <v>#REF!</v>
      </c>
      <c r="D108" s="551" t="e">
        <f>IF($B108=#REF!,#REF!*#REF!+#REF!+#REF!,0)</f>
        <v>#REF!</v>
      </c>
      <c r="E108" s="551" t="e">
        <f>IF($B108=#REF!,#REF!*#REF!+#REF!+#REF!,0)</f>
        <v>#REF!</v>
      </c>
      <c r="F108" s="551" t="e">
        <f>IF($B108=#REF!,#REF!*#REF!+#REF!+#REF!,0)</f>
        <v>#REF!</v>
      </c>
      <c r="G108" s="551" t="e">
        <f>IF($B108=#REF!,#REF!*#REF!+#REF!+#REF!+#REF!+#REF!,0)</f>
        <v>#REF!</v>
      </c>
      <c r="H108" s="551" t="e">
        <f>IF($B108=#REF!,#REF!*#REF!+#REF!+#REF!,0)</f>
        <v>#REF!</v>
      </c>
      <c r="I108" s="551"/>
      <c r="J108" s="551"/>
      <c r="K108" s="551"/>
      <c r="L108" s="551"/>
      <c r="M108" s="551" t="e">
        <f>IF($B108=#REF!,#REF!*#REF!+#REF!+#REF!,0)</f>
        <v>#REF!</v>
      </c>
      <c r="N108" s="551" t="e">
        <f>IF($B108=#REF!,#REF!*#REF!+#REF!+#REF!,0)</f>
        <v>#REF!</v>
      </c>
      <c r="O108" s="551"/>
      <c r="P108" s="551"/>
      <c r="Q108" s="590" t="e">
        <f t="shared" si="6"/>
        <v>#REF!</v>
      </c>
      <c r="T108" s="273"/>
      <c r="U108" s="274"/>
      <c r="V108" s="275"/>
    </row>
    <row r="109" spans="2:22" ht="14.55" x14ac:dyDescent="0.3">
      <c r="B109" s="505" t="str">
        <f>IF(Überblick!$H$53&gt;=4,4,"")</f>
        <v/>
      </c>
      <c r="C109" s="589" t="e">
        <f>IF($B109=#REF!,#REF!*#REF!+#REF!+#REF!+#REF!,0)</f>
        <v>#REF!</v>
      </c>
      <c r="D109" s="551" t="e">
        <f>IF($B109=#REF!,#REF!*#REF!+#REF!+#REF!,0)</f>
        <v>#REF!</v>
      </c>
      <c r="E109" s="551" t="e">
        <f>IF($B109=#REF!,#REF!*#REF!+#REF!+#REF!,0)</f>
        <v>#REF!</v>
      </c>
      <c r="F109" s="551" t="e">
        <f>IF($B109=#REF!,#REF!*#REF!+#REF!+#REF!,0)</f>
        <v>#REF!</v>
      </c>
      <c r="G109" s="551" t="e">
        <f>IF($B109=#REF!,#REF!*#REF!+#REF!+#REF!+#REF!+#REF!,0)</f>
        <v>#REF!</v>
      </c>
      <c r="H109" s="551" t="e">
        <f>IF($B109=#REF!,#REF!*#REF!+#REF!+#REF!,0)</f>
        <v>#REF!</v>
      </c>
      <c r="I109" s="551"/>
      <c r="J109" s="551"/>
      <c r="K109" s="551"/>
      <c r="L109" s="551"/>
      <c r="M109" s="551" t="e">
        <f>IF($B109=#REF!,#REF!*#REF!+#REF!+#REF!,0)</f>
        <v>#REF!</v>
      </c>
      <c r="N109" s="551" t="e">
        <f>IF($B109=#REF!,#REF!*#REF!+#REF!+#REF!,0)</f>
        <v>#REF!</v>
      </c>
      <c r="O109" s="551"/>
      <c r="P109" s="551"/>
      <c r="Q109" s="590" t="e">
        <f>SUM(C109:P109)</f>
        <v>#REF!</v>
      </c>
      <c r="T109" s="273"/>
      <c r="U109" s="274"/>
      <c r="V109" s="275"/>
    </row>
    <row r="110" spans="2:22" ht="14.55" x14ac:dyDescent="0.3">
      <c r="B110" s="505" t="str">
        <f>IF(Überblick!$H$53&gt;=5,5,"")</f>
        <v/>
      </c>
      <c r="C110" s="589" t="e">
        <f>IF($B110=#REF!,#REF!*#REF!+#REF!+#REF!+#REF!,0)</f>
        <v>#REF!</v>
      </c>
      <c r="D110" s="551" t="e">
        <f>IF($B110=#REF!,#REF!*#REF!+#REF!+#REF!,0)</f>
        <v>#REF!</v>
      </c>
      <c r="E110" s="551" t="e">
        <f>IF($B110=#REF!,#REF!*#REF!+#REF!+#REF!,0)</f>
        <v>#REF!</v>
      </c>
      <c r="F110" s="551" t="e">
        <f>IF($B110=#REF!,#REF!*#REF!+#REF!+#REF!,0)</f>
        <v>#REF!</v>
      </c>
      <c r="G110" s="551" t="e">
        <f>IF($B110=#REF!,#REF!*#REF!+#REF!+#REF!+#REF!+#REF!,0)</f>
        <v>#REF!</v>
      </c>
      <c r="H110" s="551" t="e">
        <f>IF($B110=#REF!,#REF!*#REF!+#REF!+#REF!,0)</f>
        <v>#REF!</v>
      </c>
      <c r="I110" s="551"/>
      <c r="J110" s="551"/>
      <c r="K110" s="551"/>
      <c r="L110" s="551"/>
      <c r="M110" s="551" t="e">
        <f>IF($B110=#REF!,#REF!*#REF!+#REF!+#REF!,0)</f>
        <v>#REF!</v>
      </c>
      <c r="N110" s="551" t="e">
        <f>IF($B110=#REF!,#REF!*#REF!+#REF!+#REF!,0)</f>
        <v>#REF!</v>
      </c>
      <c r="O110" s="551"/>
      <c r="P110" s="551"/>
      <c r="Q110" s="590" t="e">
        <f t="shared" si="6"/>
        <v>#REF!</v>
      </c>
      <c r="T110" s="273"/>
      <c r="U110" s="274"/>
      <c r="V110" s="275"/>
    </row>
    <row r="111" spans="2:22" ht="14.55" x14ac:dyDescent="0.3">
      <c r="B111" s="505" t="str">
        <f>IF(Überblick!$H$53&gt;=6,6,"")</f>
        <v/>
      </c>
      <c r="C111" s="589" t="e">
        <f>IF($B111=#REF!,#REF!*#REF!+#REF!+#REF!+#REF!,0)</f>
        <v>#REF!</v>
      </c>
      <c r="D111" s="551" t="e">
        <f>IF($B111=#REF!,#REF!*#REF!+#REF!+#REF!,0)</f>
        <v>#REF!</v>
      </c>
      <c r="E111" s="551" t="e">
        <f>IF($B111=#REF!,#REF!*#REF!+#REF!+#REF!,0)</f>
        <v>#REF!</v>
      </c>
      <c r="F111" s="551" t="e">
        <f>IF($B111=#REF!,#REF!*#REF!+#REF!+#REF!,0)</f>
        <v>#REF!</v>
      </c>
      <c r="G111" s="551" t="e">
        <f>IF($B111=#REF!,#REF!*#REF!+#REF!+#REF!+#REF!+#REF!,0)</f>
        <v>#REF!</v>
      </c>
      <c r="H111" s="551" t="e">
        <f>IF($B111=#REF!,#REF!*#REF!+#REF!+#REF!,0)</f>
        <v>#REF!</v>
      </c>
      <c r="I111" s="551"/>
      <c r="J111" s="551"/>
      <c r="K111" s="551"/>
      <c r="L111" s="551"/>
      <c r="M111" s="551" t="e">
        <f>IF($B111=#REF!,#REF!*#REF!+#REF!+#REF!,0)</f>
        <v>#REF!</v>
      </c>
      <c r="N111" s="551" t="e">
        <f>IF($B111=#REF!,#REF!*#REF!+#REF!+#REF!,0)</f>
        <v>#REF!</v>
      </c>
      <c r="O111" s="551"/>
      <c r="P111" s="551"/>
      <c r="Q111" s="590" t="e">
        <f t="shared" si="6"/>
        <v>#REF!</v>
      </c>
      <c r="T111" s="273"/>
      <c r="U111" s="274"/>
      <c r="V111" s="275"/>
    </row>
    <row r="112" spans="2:22" ht="14.55" x14ac:dyDescent="0.3">
      <c r="B112" s="505" t="str">
        <f>IF(Überblick!$H$53&gt;=7,7,"")</f>
        <v/>
      </c>
      <c r="C112" s="589" t="e">
        <f>IF($B112=#REF!,#REF!*#REF!+#REF!+#REF!+#REF!,0)</f>
        <v>#REF!</v>
      </c>
      <c r="D112" s="551" t="e">
        <f>IF($B112=#REF!,#REF!*#REF!+#REF!+#REF!,0)</f>
        <v>#REF!</v>
      </c>
      <c r="E112" s="551" t="e">
        <f>IF($B112=#REF!,#REF!*#REF!+#REF!+#REF!,0)</f>
        <v>#REF!</v>
      </c>
      <c r="F112" s="551" t="e">
        <f>IF($B112=#REF!,#REF!*#REF!+#REF!+#REF!,0)</f>
        <v>#REF!</v>
      </c>
      <c r="G112" s="551" t="e">
        <f>IF($B112=#REF!,#REF!*#REF!+#REF!+#REF!+#REF!+#REF!,0)</f>
        <v>#REF!</v>
      </c>
      <c r="H112" s="551" t="e">
        <f>IF($B112=#REF!,#REF!*#REF!+#REF!+#REF!,0)</f>
        <v>#REF!</v>
      </c>
      <c r="I112" s="551"/>
      <c r="J112" s="551"/>
      <c r="K112" s="551"/>
      <c r="L112" s="551"/>
      <c r="M112" s="551" t="e">
        <f>IF($B112=#REF!,#REF!*#REF!+#REF!+#REF!,0)</f>
        <v>#REF!</v>
      </c>
      <c r="N112" s="551" t="e">
        <f>IF($B112=#REF!,#REF!*#REF!+#REF!+#REF!,0)</f>
        <v>#REF!</v>
      </c>
      <c r="O112" s="551"/>
      <c r="P112" s="551"/>
      <c r="Q112" s="590" t="e">
        <f t="shared" si="6"/>
        <v>#REF!</v>
      </c>
      <c r="T112" s="273"/>
      <c r="U112" s="274"/>
      <c r="V112" s="275"/>
    </row>
    <row r="113" spans="2:22" ht="14.55" x14ac:dyDescent="0.3">
      <c r="B113" s="505" t="str">
        <f>IF(Überblick!$H$53&gt;=8,8,"")</f>
        <v/>
      </c>
      <c r="C113" s="589" t="e">
        <f>IF($B113=#REF!,#REF!*#REF!+#REF!+#REF!+#REF!,0)</f>
        <v>#REF!</v>
      </c>
      <c r="D113" s="551" t="e">
        <f>IF($B113=#REF!,#REF!*#REF!+#REF!+#REF!,0)</f>
        <v>#REF!</v>
      </c>
      <c r="E113" s="551" t="e">
        <f>IF($B113=#REF!,#REF!*#REF!+#REF!+#REF!,0)</f>
        <v>#REF!</v>
      </c>
      <c r="F113" s="551" t="e">
        <f>IF($B113=#REF!,#REF!*#REF!+#REF!+#REF!,0)</f>
        <v>#REF!</v>
      </c>
      <c r="G113" s="551" t="e">
        <f>IF($B113=#REF!,#REF!*#REF!+#REF!+#REF!+#REF!+#REF!,0)</f>
        <v>#REF!</v>
      </c>
      <c r="H113" s="551" t="e">
        <f>IF($B113=#REF!,#REF!*#REF!+#REF!+#REF!,0)</f>
        <v>#REF!</v>
      </c>
      <c r="I113" s="551"/>
      <c r="J113" s="551"/>
      <c r="K113" s="551"/>
      <c r="L113" s="551"/>
      <c r="M113" s="551" t="e">
        <f>IF($B113=#REF!,#REF!*#REF!+#REF!+#REF!,0)</f>
        <v>#REF!</v>
      </c>
      <c r="N113" s="551" t="e">
        <f>IF($B113=#REF!,#REF!*#REF!+#REF!+#REF!,0)</f>
        <v>#REF!</v>
      </c>
      <c r="O113" s="551"/>
      <c r="P113" s="551"/>
      <c r="Q113" s="590" t="e">
        <f t="shared" si="6"/>
        <v>#REF!</v>
      </c>
      <c r="T113" s="273"/>
      <c r="U113" s="274"/>
      <c r="V113" s="275"/>
    </row>
    <row r="114" spans="2:22" ht="15.2" thickBot="1" x14ac:dyDescent="0.35">
      <c r="B114" s="509" t="str">
        <f>IF(Überblick!$H$53&gt;=9,9,"")</f>
        <v/>
      </c>
      <c r="C114" s="591" t="e">
        <f>IF($B114=#REF!,#REF!*#REF!+#REF!+#REF!+#REF!,0)</f>
        <v>#REF!</v>
      </c>
      <c r="D114" s="556" t="e">
        <f>IF($B114=#REF!,#REF!*#REF!+#REF!+#REF!,0)</f>
        <v>#REF!</v>
      </c>
      <c r="E114" s="556" t="e">
        <f>IF($B114=#REF!,#REF!*#REF!+#REF!+#REF!,0)</f>
        <v>#REF!</v>
      </c>
      <c r="F114" s="556" t="e">
        <f>IF($B114=#REF!,#REF!*#REF!+#REF!+#REF!,0)</f>
        <v>#REF!</v>
      </c>
      <c r="G114" s="556" t="e">
        <f>IF($B114=#REF!,#REF!*#REF!+#REF!+#REF!+#REF!+#REF!,0)</f>
        <v>#REF!</v>
      </c>
      <c r="H114" s="556" t="e">
        <f>IF($B114=#REF!,#REF!*#REF!+#REF!+#REF!,0)</f>
        <v>#REF!</v>
      </c>
      <c r="I114" s="556"/>
      <c r="J114" s="556"/>
      <c r="K114" s="556"/>
      <c r="L114" s="556"/>
      <c r="M114" s="556" t="e">
        <f>IF($B114=#REF!,#REF!*#REF!+#REF!+#REF!,0)</f>
        <v>#REF!</v>
      </c>
      <c r="N114" s="556" t="e">
        <f>IF($B114=#REF!,#REF!*#REF!+#REF!+#REF!,0)</f>
        <v>#REF!</v>
      </c>
      <c r="O114" s="556"/>
      <c r="P114" s="556"/>
      <c r="Q114" s="592" t="e">
        <f t="shared" si="6"/>
        <v>#REF!</v>
      </c>
      <c r="T114" s="273"/>
      <c r="U114" s="274"/>
      <c r="V114" s="275"/>
    </row>
    <row r="115" spans="2:22" ht="15.2" thickBot="1" x14ac:dyDescent="0.35">
      <c r="Q115" s="593" t="e">
        <f>SUM(Q106:Q114)</f>
        <v>#REF!</v>
      </c>
      <c r="T115" s="273"/>
      <c r="U115" s="274"/>
      <c r="V115" s="275"/>
    </row>
    <row r="116" spans="2:22" ht="14.55" x14ac:dyDescent="0.3">
      <c r="T116" s="273"/>
      <c r="U116" s="274"/>
      <c r="V116" s="275"/>
    </row>
    <row r="117" spans="2:22" ht="14.55" x14ac:dyDescent="0.3">
      <c r="T117" s="273"/>
      <c r="U117" s="274"/>
      <c r="V117" s="275"/>
    </row>
    <row r="118" spans="2:22" ht="14.55" x14ac:dyDescent="0.3">
      <c r="T118" s="273"/>
      <c r="U118" s="274"/>
      <c r="V118" s="275"/>
    </row>
    <row r="119" spans="2:22" ht="14.55" x14ac:dyDescent="0.3">
      <c r="T119" s="273"/>
      <c r="U119" s="274"/>
      <c r="V119" s="275"/>
    </row>
    <row r="120" spans="2:22" ht="14.55" x14ac:dyDescent="0.3">
      <c r="T120" s="273"/>
      <c r="U120" s="274"/>
      <c r="V120" s="275"/>
    </row>
    <row r="121" spans="2:22" ht="14.55" x14ac:dyDescent="0.3">
      <c r="T121" s="273"/>
      <c r="U121" s="274"/>
      <c r="V121" s="275"/>
    </row>
    <row r="122" spans="2:22" ht="14.55" x14ac:dyDescent="0.3">
      <c r="T122" s="273"/>
      <c r="U122" s="274"/>
      <c r="V122" s="275"/>
    </row>
    <row r="123" spans="2:22" ht="14.55" x14ac:dyDescent="0.3">
      <c r="T123" s="273"/>
      <c r="U123" s="274"/>
      <c r="V123" s="275"/>
    </row>
    <row r="124" spans="2:22" ht="14.55" x14ac:dyDescent="0.3">
      <c r="T124" s="273"/>
      <c r="U124" s="274"/>
      <c r="V124" s="275"/>
    </row>
    <row r="125" spans="2:22" ht="14.55" x14ac:dyDescent="0.3">
      <c r="T125" s="273"/>
      <c r="U125" s="274"/>
      <c r="V125" s="275"/>
    </row>
    <row r="126" spans="2:22" ht="14.55" x14ac:dyDescent="0.3">
      <c r="T126" s="273"/>
      <c r="U126" s="274"/>
      <c r="V126" s="275"/>
    </row>
    <row r="127" spans="2:22" ht="14.55" x14ac:dyDescent="0.3">
      <c r="T127" s="273"/>
      <c r="U127" s="274"/>
      <c r="V127" s="275"/>
    </row>
    <row r="128" spans="2:22" ht="14.55" x14ac:dyDescent="0.3">
      <c r="T128" s="273"/>
      <c r="U128" s="274"/>
      <c r="V128" s="275"/>
    </row>
    <row r="129" spans="20:22" ht="14.55" x14ac:dyDescent="0.3">
      <c r="T129" s="273"/>
      <c r="U129" s="274"/>
      <c r="V129" s="275"/>
    </row>
    <row r="130" spans="20:22" ht="14.55" x14ac:dyDescent="0.3">
      <c r="T130" s="273"/>
      <c r="U130" s="274"/>
      <c r="V130" s="275"/>
    </row>
    <row r="131" spans="20:22" ht="14.55" x14ac:dyDescent="0.3">
      <c r="T131" s="273"/>
      <c r="U131" s="274"/>
      <c r="V131" s="275"/>
    </row>
    <row r="132" spans="20:22" ht="14.55" x14ac:dyDescent="0.3">
      <c r="T132" s="273"/>
      <c r="U132" s="274"/>
      <c r="V132" s="275"/>
    </row>
    <row r="133" spans="20:22" ht="14.55" x14ac:dyDescent="0.3">
      <c r="T133" s="273"/>
      <c r="U133" s="274"/>
      <c r="V133" s="275"/>
    </row>
    <row r="134" spans="20:22" ht="14.55" x14ac:dyDescent="0.3">
      <c r="T134" s="273"/>
      <c r="U134" s="274"/>
      <c r="V134" s="275"/>
    </row>
    <row r="135" spans="20:22" ht="14.55" x14ac:dyDescent="0.3">
      <c r="T135" s="273"/>
      <c r="U135" s="274"/>
      <c r="V135" s="275"/>
    </row>
    <row r="136" spans="20:22" ht="14.55" x14ac:dyDescent="0.3">
      <c r="T136" s="273"/>
      <c r="U136" s="274"/>
      <c r="V136" s="275"/>
    </row>
    <row r="137" spans="20:22" ht="14.55" x14ac:dyDescent="0.3">
      <c r="T137" s="273"/>
      <c r="U137" s="274"/>
      <c r="V137" s="275"/>
    </row>
    <row r="138" spans="20:22" ht="14.55" x14ac:dyDescent="0.3">
      <c r="T138" s="273"/>
      <c r="U138" s="274"/>
      <c r="V138" s="275"/>
    </row>
    <row r="139" spans="20:22" ht="14.55" x14ac:dyDescent="0.3">
      <c r="T139" s="273"/>
      <c r="U139" s="274"/>
      <c r="V139" s="275"/>
    </row>
    <row r="140" spans="20:22" ht="14.55" x14ac:dyDescent="0.3">
      <c r="T140" s="273"/>
      <c r="U140" s="274"/>
      <c r="V140" s="275"/>
    </row>
    <row r="141" spans="20:22" ht="14.55" x14ac:dyDescent="0.3">
      <c r="T141" s="273"/>
      <c r="U141" s="274"/>
      <c r="V141" s="275"/>
    </row>
    <row r="142" spans="20:22" ht="14.55" x14ac:dyDescent="0.3">
      <c r="T142" s="273"/>
      <c r="U142" s="274"/>
      <c r="V142" s="275"/>
    </row>
    <row r="143" spans="20:22" ht="14.55" x14ac:dyDescent="0.3">
      <c r="T143" s="273"/>
      <c r="U143" s="274"/>
      <c r="V143" s="275"/>
    </row>
    <row r="144" spans="20:22" ht="14.55" x14ac:dyDescent="0.3">
      <c r="T144" s="273"/>
      <c r="U144" s="274"/>
      <c r="V144" s="275"/>
    </row>
    <row r="145" spans="20:22" ht="14.55" x14ac:dyDescent="0.3">
      <c r="T145" s="273"/>
      <c r="U145" s="274"/>
      <c r="V145" s="275"/>
    </row>
    <row r="146" spans="20:22" ht="14.55" x14ac:dyDescent="0.3">
      <c r="T146" s="273"/>
      <c r="U146" s="274"/>
      <c r="V146" s="275"/>
    </row>
    <row r="147" spans="20:22" ht="14.55" x14ac:dyDescent="0.3">
      <c r="T147" s="273"/>
      <c r="U147" s="274"/>
      <c r="V147" s="275"/>
    </row>
    <row r="148" spans="20:22" ht="14.55" x14ac:dyDescent="0.3">
      <c r="T148" s="273"/>
      <c r="U148" s="274"/>
      <c r="V148" s="275"/>
    </row>
    <row r="149" spans="20:22" ht="14.55" x14ac:dyDescent="0.3">
      <c r="T149" s="273"/>
      <c r="U149" s="274"/>
      <c r="V149" s="275"/>
    </row>
    <row r="150" spans="20:22" ht="14.55" x14ac:dyDescent="0.3">
      <c r="T150" s="273"/>
      <c r="U150" s="274"/>
      <c r="V150" s="275"/>
    </row>
    <row r="151" spans="20:22" ht="14.55" x14ac:dyDescent="0.3">
      <c r="T151" s="273"/>
      <c r="U151" s="274"/>
      <c r="V151" s="275"/>
    </row>
    <row r="152" spans="20:22" ht="14.55" x14ac:dyDescent="0.3">
      <c r="T152" s="273"/>
      <c r="U152" s="274"/>
      <c r="V152" s="275"/>
    </row>
    <row r="153" spans="20:22" ht="14.55" x14ac:dyDescent="0.3">
      <c r="T153" s="273"/>
      <c r="U153" s="274"/>
      <c r="V153" s="275"/>
    </row>
    <row r="154" spans="20:22" ht="14.55" x14ac:dyDescent="0.3">
      <c r="T154" s="273"/>
      <c r="U154" s="274"/>
      <c r="V154" s="275"/>
    </row>
    <row r="155" spans="20:22" ht="14.55" x14ac:dyDescent="0.3">
      <c r="T155" s="273"/>
      <c r="U155" s="274"/>
      <c r="V155" s="275"/>
    </row>
    <row r="156" spans="20:22" ht="14.55" x14ac:dyDescent="0.3">
      <c r="T156" s="273"/>
      <c r="U156" s="274"/>
      <c r="V156" s="275"/>
    </row>
    <row r="157" spans="20:22" ht="14.55" x14ac:dyDescent="0.3">
      <c r="T157" s="273"/>
      <c r="U157" s="274"/>
      <c r="V157" s="275"/>
    </row>
    <row r="158" spans="20:22" ht="14.55" x14ac:dyDescent="0.3">
      <c r="T158" s="273"/>
      <c r="U158" s="274"/>
      <c r="V158" s="275"/>
    </row>
    <row r="159" spans="20:22" ht="14.55" x14ac:dyDescent="0.3">
      <c r="T159" s="273"/>
      <c r="U159" s="274"/>
      <c r="V159" s="275"/>
    </row>
    <row r="160" spans="20:22" ht="14.55" x14ac:dyDescent="0.3">
      <c r="T160" s="273"/>
      <c r="U160" s="274"/>
      <c r="V160" s="275"/>
    </row>
    <row r="161" spans="20:22" ht="14.55" x14ac:dyDescent="0.3">
      <c r="T161" s="273"/>
      <c r="U161" s="274"/>
      <c r="V161" s="275"/>
    </row>
    <row r="162" spans="20:22" ht="14.55" x14ac:dyDescent="0.3">
      <c r="T162" s="273"/>
      <c r="U162" s="274"/>
      <c r="V162" s="275"/>
    </row>
    <row r="163" spans="20:22" ht="14.55" x14ac:dyDescent="0.3">
      <c r="T163" s="273"/>
      <c r="U163" s="274"/>
      <c r="V163" s="275"/>
    </row>
    <row r="164" spans="20:22" ht="14.55" x14ac:dyDescent="0.3">
      <c r="T164" s="273"/>
      <c r="U164" s="274"/>
      <c r="V164" s="275"/>
    </row>
    <row r="165" spans="20:22" ht="14.55" x14ac:dyDescent="0.3">
      <c r="T165" s="273"/>
      <c r="U165" s="274"/>
      <c r="V165" s="275"/>
    </row>
    <row r="166" spans="20:22" ht="14.55" x14ac:dyDescent="0.3">
      <c r="T166" s="273"/>
      <c r="U166" s="274"/>
      <c r="V166" s="275"/>
    </row>
    <row r="167" spans="20:22" ht="14.55" x14ac:dyDescent="0.3">
      <c r="T167" s="273"/>
      <c r="U167" s="274"/>
      <c r="V167" s="275"/>
    </row>
    <row r="168" spans="20:22" ht="14.55" x14ac:dyDescent="0.3">
      <c r="T168" s="273"/>
      <c r="U168" s="274"/>
      <c r="V168" s="275"/>
    </row>
    <row r="169" spans="20:22" ht="14.55" x14ac:dyDescent="0.3">
      <c r="T169" s="273"/>
      <c r="U169" s="274"/>
      <c r="V169" s="560"/>
    </row>
    <row r="170" spans="20:22" ht="14.55" x14ac:dyDescent="0.3">
      <c r="T170" s="273"/>
      <c r="U170" s="274"/>
      <c r="V170" s="275"/>
    </row>
    <row r="171" spans="20:22" ht="14.55" x14ac:dyDescent="0.3">
      <c r="T171" s="273"/>
      <c r="U171" s="274"/>
      <c r="V171" s="275"/>
    </row>
    <row r="172" spans="20:22" ht="14.55" x14ac:dyDescent="0.3">
      <c r="T172" s="273"/>
      <c r="U172" s="274"/>
      <c r="V172" s="275"/>
    </row>
    <row r="173" spans="20:22" ht="14.55" x14ac:dyDescent="0.3">
      <c r="T173" s="273"/>
      <c r="U173" s="274"/>
      <c r="V173" s="275"/>
    </row>
    <row r="174" spans="20:22" ht="14.55" x14ac:dyDescent="0.3">
      <c r="T174" s="273"/>
      <c r="U174" s="274"/>
      <c r="V174" s="275"/>
    </row>
    <row r="175" spans="20:22" ht="14.55" x14ac:dyDescent="0.3">
      <c r="T175" s="273"/>
      <c r="U175" s="274"/>
      <c r="V175" s="275"/>
    </row>
    <row r="176" spans="20:22" ht="14.55" x14ac:dyDescent="0.3">
      <c r="T176" s="273"/>
      <c r="U176" s="274"/>
      <c r="V176" s="275"/>
    </row>
    <row r="177" spans="20:22" ht="14.55" x14ac:dyDescent="0.3">
      <c r="T177" s="273"/>
      <c r="U177" s="274"/>
      <c r="V177" s="275"/>
    </row>
    <row r="178" spans="20:22" ht="14.55" x14ac:dyDescent="0.3">
      <c r="T178" s="273"/>
      <c r="U178" s="274"/>
      <c r="V178" s="275"/>
    </row>
    <row r="179" spans="20:22" ht="14.55" x14ac:dyDescent="0.3">
      <c r="T179" s="273"/>
      <c r="U179" s="274"/>
      <c r="V179" s="275"/>
    </row>
    <row r="180" spans="20:22" ht="14.55" x14ac:dyDescent="0.3">
      <c r="T180" s="273"/>
      <c r="U180" s="274"/>
      <c r="V180" s="275"/>
    </row>
    <row r="181" spans="20:22" ht="14.55" x14ac:dyDescent="0.3">
      <c r="T181" s="273"/>
      <c r="U181" s="274"/>
      <c r="V181" s="275"/>
    </row>
    <row r="182" spans="20:22" ht="14.55" x14ac:dyDescent="0.3">
      <c r="T182" s="273"/>
      <c r="U182" s="274"/>
      <c r="V182" s="275"/>
    </row>
    <row r="183" spans="20:22" ht="14.55" x14ac:dyDescent="0.3">
      <c r="T183" s="273"/>
      <c r="U183" s="274"/>
      <c r="V183" s="275"/>
    </row>
    <row r="184" spans="20:22" ht="14.55" x14ac:dyDescent="0.3">
      <c r="T184" s="273"/>
      <c r="U184" s="274"/>
      <c r="V184" s="275"/>
    </row>
    <row r="185" spans="20:22" ht="14.55" x14ac:dyDescent="0.3">
      <c r="T185" s="273"/>
      <c r="U185" s="274"/>
      <c r="V185" s="275"/>
    </row>
    <row r="186" spans="20:22" ht="14.55" x14ac:dyDescent="0.3">
      <c r="T186" s="273"/>
      <c r="U186" s="274"/>
      <c r="V186" s="275"/>
    </row>
    <row r="187" spans="20:22" ht="14.55" x14ac:dyDescent="0.3">
      <c r="T187" s="273"/>
      <c r="U187" s="274"/>
      <c r="V187" s="275"/>
    </row>
    <row r="188" spans="20:22" ht="14.55" x14ac:dyDescent="0.3">
      <c r="T188" s="273"/>
      <c r="U188" s="274"/>
      <c r="V188" s="275"/>
    </row>
    <row r="189" spans="20:22" ht="14.55" x14ac:dyDescent="0.3">
      <c r="T189" s="273"/>
      <c r="U189" s="274"/>
      <c r="V189" s="275"/>
    </row>
    <row r="190" spans="20:22" ht="14.55" x14ac:dyDescent="0.3">
      <c r="T190" s="273"/>
      <c r="U190" s="274"/>
      <c r="V190" s="275"/>
    </row>
    <row r="191" spans="20:22" ht="14.55" x14ac:dyDescent="0.3">
      <c r="T191" s="273"/>
      <c r="U191" s="274"/>
      <c r="V191" s="275"/>
    </row>
    <row r="192" spans="20:22" ht="14.55" x14ac:dyDescent="0.3">
      <c r="T192" s="273"/>
      <c r="U192" s="274"/>
      <c r="V192" s="275"/>
    </row>
    <row r="193" spans="20:22" ht="14.55" x14ac:dyDescent="0.3">
      <c r="T193" s="273"/>
      <c r="U193" s="274"/>
      <c r="V193" s="275"/>
    </row>
    <row r="194" spans="20:22" ht="14.55" x14ac:dyDescent="0.3">
      <c r="T194" s="273"/>
      <c r="U194" s="274"/>
      <c r="V194" s="275"/>
    </row>
    <row r="195" spans="20:22" ht="14.55" x14ac:dyDescent="0.3">
      <c r="T195" s="273"/>
      <c r="U195" s="274"/>
      <c r="V195" s="275"/>
    </row>
    <row r="196" spans="20:22" ht="14.55" x14ac:dyDescent="0.3">
      <c r="T196" s="273"/>
      <c r="U196" s="274"/>
      <c r="V196" s="275"/>
    </row>
    <row r="197" spans="20:22" ht="14.55" x14ac:dyDescent="0.3">
      <c r="T197" s="273"/>
      <c r="U197" s="274"/>
      <c r="V197" s="275"/>
    </row>
    <row r="198" spans="20:22" ht="14.55" x14ac:dyDescent="0.3">
      <c r="T198" s="273"/>
      <c r="U198" s="274"/>
      <c r="V198" s="275"/>
    </row>
    <row r="199" spans="20:22" ht="14.55" x14ac:dyDescent="0.3">
      <c r="T199" s="273"/>
      <c r="U199" s="274"/>
      <c r="V199" s="275"/>
    </row>
    <row r="200" spans="20:22" ht="14.55" x14ac:dyDescent="0.3">
      <c r="T200" s="273"/>
      <c r="U200" s="274"/>
      <c r="V200" s="275"/>
    </row>
    <row r="201" spans="20:22" ht="14.55" x14ac:dyDescent="0.3">
      <c r="T201" s="273"/>
      <c r="U201" s="274"/>
      <c r="V201" s="275"/>
    </row>
    <row r="202" spans="20:22" ht="14.55" x14ac:dyDescent="0.3">
      <c r="T202" s="273"/>
      <c r="U202" s="274"/>
      <c r="V202" s="275"/>
    </row>
    <row r="203" spans="20:22" ht="14.55" x14ac:dyDescent="0.3">
      <c r="T203" s="273"/>
      <c r="U203" s="274"/>
      <c r="V203" s="275"/>
    </row>
    <row r="204" spans="20:22" ht="14.55" x14ac:dyDescent="0.3">
      <c r="T204" s="273"/>
      <c r="U204" s="274"/>
      <c r="V204" s="275"/>
    </row>
    <row r="205" spans="20:22" ht="14.55" x14ac:dyDescent="0.3">
      <c r="T205" s="273"/>
      <c r="U205" s="274"/>
      <c r="V205" s="275"/>
    </row>
    <row r="206" spans="20:22" ht="14.55" x14ac:dyDescent="0.3">
      <c r="T206" s="273"/>
      <c r="U206" s="274"/>
      <c r="V206" s="275"/>
    </row>
    <row r="207" spans="20:22" ht="14.55" x14ac:dyDescent="0.3">
      <c r="T207" s="273"/>
      <c r="U207" s="274"/>
      <c r="V207" s="275"/>
    </row>
    <row r="208" spans="20:22" ht="14.55" x14ac:dyDescent="0.3">
      <c r="T208" s="273"/>
      <c r="U208" s="274"/>
      <c r="V208" s="275"/>
    </row>
    <row r="209" spans="20:22" ht="14.55" x14ac:dyDescent="0.3">
      <c r="T209" s="273"/>
      <c r="U209" s="274"/>
      <c r="V209" s="275"/>
    </row>
    <row r="210" spans="20:22" ht="14.55" x14ac:dyDescent="0.3">
      <c r="T210" s="273"/>
      <c r="U210" s="274"/>
      <c r="V210" s="275"/>
    </row>
    <row r="211" spans="20:22" ht="14.55" x14ac:dyDescent="0.3">
      <c r="T211" s="273"/>
      <c r="U211" s="274"/>
      <c r="V211" s="275"/>
    </row>
    <row r="212" spans="20:22" ht="14.55" x14ac:dyDescent="0.3">
      <c r="T212" s="273"/>
      <c r="U212" s="274"/>
      <c r="V212" s="275"/>
    </row>
    <row r="213" spans="20:22" ht="14.55" x14ac:dyDescent="0.3">
      <c r="T213" s="273"/>
      <c r="U213" s="274"/>
      <c r="V213" s="275"/>
    </row>
    <row r="214" spans="20:22" ht="14.55" x14ac:dyDescent="0.3">
      <c r="T214" s="273"/>
      <c r="U214" s="274"/>
      <c r="V214" s="275"/>
    </row>
    <row r="215" spans="20:22" ht="14.55" x14ac:dyDescent="0.3">
      <c r="T215" s="273"/>
      <c r="U215" s="274"/>
      <c r="V215" s="275"/>
    </row>
    <row r="216" spans="20:22" ht="14.55" x14ac:dyDescent="0.3">
      <c r="T216" s="273"/>
      <c r="U216" s="274"/>
      <c r="V216" s="275"/>
    </row>
    <row r="217" spans="20:22" ht="14.55" x14ac:dyDescent="0.3">
      <c r="T217" s="273"/>
      <c r="U217" s="274"/>
      <c r="V217" s="275"/>
    </row>
    <row r="218" spans="20:22" ht="14.55" x14ac:dyDescent="0.3">
      <c r="T218" s="273"/>
      <c r="U218" s="274"/>
      <c r="V218" s="275"/>
    </row>
    <row r="219" spans="20:22" ht="14.55" x14ac:dyDescent="0.3">
      <c r="T219" s="273"/>
      <c r="U219" s="274"/>
      <c r="V219" s="275"/>
    </row>
    <row r="220" spans="20:22" ht="14.55" x14ac:dyDescent="0.3">
      <c r="T220" s="273"/>
      <c r="U220" s="274"/>
      <c r="V220" s="275"/>
    </row>
    <row r="221" spans="20:22" ht="14.55" x14ac:dyDescent="0.3">
      <c r="T221" s="273"/>
      <c r="U221" s="274"/>
      <c r="V221" s="275"/>
    </row>
    <row r="222" spans="20:22" ht="14.55" x14ac:dyDescent="0.3">
      <c r="T222" s="273"/>
      <c r="U222" s="274"/>
      <c r="V222" s="275"/>
    </row>
    <row r="223" spans="20:22" ht="14.55" x14ac:dyDescent="0.3">
      <c r="T223" s="273"/>
      <c r="U223" s="274"/>
      <c r="V223" s="275"/>
    </row>
    <row r="224" spans="20:22" ht="14.55" x14ac:dyDescent="0.3">
      <c r="T224" s="273"/>
      <c r="U224" s="274"/>
      <c r="V224" s="275"/>
    </row>
    <row r="225" spans="20:22" ht="14.55" x14ac:dyDescent="0.3">
      <c r="T225" s="273"/>
      <c r="U225" s="274"/>
      <c r="V225" s="275"/>
    </row>
    <row r="226" spans="20:22" ht="14.55" x14ac:dyDescent="0.3">
      <c r="T226" s="273"/>
      <c r="U226" s="274"/>
      <c r="V226" s="275"/>
    </row>
    <row r="227" spans="20:22" ht="14.55" x14ac:dyDescent="0.3">
      <c r="T227" s="273"/>
      <c r="U227" s="274"/>
      <c r="V227" s="275"/>
    </row>
    <row r="228" spans="20:22" ht="14.55" x14ac:dyDescent="0.3">
      <c r="T228" s="273"/>
      <c r="U228" s="274"/>
      <c r="V228" s="275"/>
    </row>
    <row r="229" spans="20:22" ht="14.55" x14ac:dyDescent="0.3">
      <c r="T229" s="273"/>
      <c r="U229" s="274"/>
      <c r="V229" s="275"/>
    </row>
    <row r="230" spans="20:22" ht="14.55" x14ac:dyDescent="0.3">
      <c r="T230" s="273"/>
      <c r="U230" s="274"/>
      <c r="V230" s="275"/>
    </row>
    <row r="231" spans="20:22" ht="14.55" x14ac:dyDescent="0.3">
      <c r="T231" s="273"/>
      <c r="U231" s="274"/>
      <c r="V231" s="275"/>
    </row>
    <row r="232" spans="20:22" ht="14.55" x14ac:dyDescent="0.3">
      <c r="T232" s="273"/>
      <c r="U232" s="274"/>
      <c r="V232" s="275"/>
    </row>
    <row r="233" spans="20:22" ht="14.55" x14ac:dyDescent="0.3">
      <c r="T233" s="273"/>
      <c r="U233" s="274"/>
      <c r="V233" s="275"/>
    </row>
    <row r="234" spans="20:22" ht="14.55" x14ac:dyDescent="0.3">
      <c r="T234" s="273"/>
      <c r="U234" s="274"/>
      <c r="V234" s="275"/>
    </row>
    <row r="235" spans="20:22" ht="14.55" x14ac:dyDescent="0.3">
      <c r="T235" s="273"/>
      <c r="U235" s="274"/>
      <c r="V235" s="275"/>
    </row>
    <row r="236" spans="20:22" ht="14.55" x14ac:dyDescent="0.3">
      <c r="T236" s="273"/>
      <c r="U236" s="274"/>
      <c r="V236" s="275"/>
    </row>
    <row r="237" spans="20:22" ht="14.55" x14ac:dyDescent="0.3">
      <c r="T237" s="273"/>
      <c r="U237" s="274"/>
      <c r="V237" s="275"/>
    </row>
    <row r="238" spans="20:22" ht="14.55" x14ac:dyDescent="0.3">
      <c r="T238" s="273"/>
      <c r="U238" s="274"/>
      <c r="V238" s="275"/>
    </row>
    <row r="239" spans="20:22" ht="14.55" x14ac:dyDescent="0.3">
      <c r="T239" s="273"/>
      <c r="U239" s="274"/>
      <c r="V239" s="275"/>
    </row>
    <row r="240" spans="20:22" ht="14.55" x14ac:dyDescent="0.3">
      <c r="T240" s="273"/>
      <c r="U240" s="274"/>
      <c r="V240" s="275"/>
    </row>
    <row r="241" spans="20:22" ht="14.55" x14ac:dyDescent="0.3">
      <c r="T241" s="273"/>
      <c r="U241" s="274"/>
      <c r="V241" s="275"/>
    </row>
    <row r="242" spans="20:22" ht="14.55" x14ac:dyDescent="0.3">
      <c r="T242" s="273"/>
      <c r="U242" s="274"/>
      <c r="V242" s="275"/>
    </row>
    <row r="243" spans="20:22" ht="14.55" x14ac:dyDescent="0.3">
      <c r="T243" s="273"/>
      <c r="U243" s="274"/>
      <c r="V243" s="275"/>
    </row>
    <row r="244" spans="20:22" ht="14.55" x14ac:dyDescent="0.3">
      <c r="T244" s="273"/>
      <c r="U244" s="274"/>
      <c r="V244" s="275"/>
    </row>
    <row r="245" spans="20:22" ht="14.55" x14ac:dyDescent="0.3">
      <c r="T245" s="273"/>
      <c r="U245" s="274"/>
      <c r="V245" s="275"/>
    </row>
    <row r="246" spans="20:22" ht="14.55" x14ac:dyDescent="0.3">
      <c r="T246" s="273"/>
      <c r="U246" s="274"/>
      <c r="V246" s="275"/>
    </row>
    <row r="247" spans="20:22" ht="14.55" x14ac:dyDescent="0.3">
      <c r="T247" s="273"/>
      <c r="U247" s="274"/>
      <c r="V247" s="275"/>
    </row>
    <row r="248" spans="20:22" ht="14.55" x14ac:dyDescent="0.3">
      <c r="T248" s="273"/>
      <c r="U248" s="274"/>
      <c r="V248" s="275"/>
    </row>
    <row r="249" spans="20:22" ht="14.55" x14ac:dyDescent="0.3">
      <c r="T249" s="273"/>
      <c r="U249" s="274"/>
      <c r="V249" s="275"/>
    </row>
    <row r="250" spans="20:22" ht="14.55" x14ac:dyDescent="0.3">
      <c r="T250" s="273"/>
      <c r="U250" s="274"/>
      <c r="V250" s="275"/>
    </row>
    <row r="251" spans="20:22" ht="14.55" x14ac:dyDescent="0.3">
      <c r="T251" s="273"/>
      <c r="U251" s="274"/>
      <c r="V251" s="275"/>
    </row>
    <row r="252" spans="20:22" ht="14.55" x14ac:dyDescent="0.3">
      <c r="T252" s="273"/>
      <c r="U252" s="274"/>
      <c r="V252" s="275"/>
    </row>
    <row r="253" spans="20:22" ht="14.55" x14ac:dyDescent="0.3">
      <c r="T253" s="273"/>
      <c r="U253" s="274"/>
      <c r="V253" s="275"/>
    </row>
    <row r="254" spans="20:22" ht="14.55" x14ac:dyDescent="0.3">
      <c r="T254" s="273"/>
      <c r="U254" s="274"/>
      <c r="V254" s="275"/>
    </row>
    <row r="255" spans="20:22" ht="14.55" x14ac:dyDescent="0.3">
      <c r="T255" s="273"/>
      <c r="U255" s="274"/>
      <c r="V255" s="275"/>
    </row>
    <row r="256" spans="20:22" ht="14.55" x14ac:dyDescent="0.3">
      <c r="T256" s="273"/>
      <c r="U256" s="274"/>
      <c r="V256" s="275"/>
    </row>
    <row r="257" spans="3:22" ht="14.55" x14ac:dyDescent="0.3">
      <c r="T257" s="273"/>
      <c r="U257" s="274"/>
      <c r="V257" s="275"/>
    </row>
    <row r="258" spans="3:22" ht="14.55" x14ac:dyDescent="0.3">
      <c r="T258" s="273"/>
      <c r="U258" s="274"/>
      <c r="V258" s="275"/>
    </row>
    <row r="259" spans="3:22" ht="14.55" x14ac:dyDescent="0.3">
      <c r="T259" s="273"/>
      <c r="U259" s="274"/>
      <c r="V259" s="275"/>
    </row>
    <row r="260" spans="3:22" ht="14.55" x14ac:dyDescent="0.3">
      <c r="T260" s="273"/>
      <c r="U260" s="274"/>
      <c r="V260" s="275"/>
    </row>
    <row r="261" spans="3:22" ht="14.55" x14ac:dyDescent="0.3">
      <c r="T261" s="273"/>
      <c r="U261" s="274"/>
      <c r="V261" s="275"/>
    </row>
    <row r="262" spans="3:22" ht="14.55" x14ac:dyDescent="0.3">
      <c r="T262" s="273"/>
      <c r="U262" s="274"/>
      <c r="V262" s="275"/>
    </row>
    <row r="263" spans="3:22" ht="14.55" x14ac:dyDescent="0.3">
      <c r="T263" s="273"/>
      <c r="U263" s="274"/>
      <c r="V263" s="275"/>
    </row>
    <row r="264" spans="3:22" ht="14.55" x14ac:dyDescent="0.3">
      <c r="T264" s="273"/>
      <c r="U264" s="274"/>
      <c r="V264" s="275"/>
    </row>
    <row r="265" spans="3:22" ht="14.55" x14ac:dyDescent="0.3">
      <c r="T265" s="273"/>
      <c r="U265" s="274"/>
      <c r="V265" s="275"/>
    </row>
    <row r="266" spans="3:22" ht="14.55" x14ac:dyDescent="0.3">
      <c r="C266" s="543" t="e">
        <f>'Berechnung - Bauakustik'!C106</f>
        <v>#REF!</v>
      </c>
      <c r="D266" s="543" t="e">
        <f>'Berechnung - Bauakustik'!D106</f>
        <v>#REF!</v>
      </c>
      <c r="E266" s="543" t="e">
        <f>'Berechnung - Bauakustik'!E106</f>
        <v>#REF!</v>
      </c>
      <c r="F266" s="543" t="e">
        <f>'Berechnung - Bauakustik'!F106</f>
        <v>#REF!</v>
      </c>
      <c r="G266" s="543" t="e">
        <f>'Berechnung - Bauakustik'!G106</f>
        <v>#REF!</v>
      </c>
      <c r="H266" s="543" t="e">
        <f>'Berechnung - Bauakustik'!H106</f>
        <v>#REF!</v>
      </c>
      <c r="I266" s="543">
        <f>'Berechnung - Bauakustik'!I106</f>
        <v>0</v>
      </c>
      <c r="J266" s="543">
        <f>'Berechnung - Bauakustik'!J106</f>
        <v>0</v>
      </c>
      <c r="K266" s="543">
        <f>'Berechnung - Bauakustik'!K106</f>
        <v>0</v>
      </c>
      <c r="L266" s="543">
        <f>'Berechnung - Bauakustik'!L106</f>
        <v>0</v>
      </c>
      <c r="M266" s="543" t="e">
        <f>'Berechnung - Bauakustik'!M106</f>
        <v>#REF!</v>
      </c>
      <c r="N266" s="543" t="e">
        <f>'Berechnung - Bauakustik'!N106</f>
        <v>#REF!</v>
      </c>
      <c r="O266" s="543">
        <f>'Berechnung - Bauakustik'!O106</f>
        <v>0</v>
      </c>
      <c r="P266" s="543">
        <f>'Berechnung - Bauakustik'!P106</f>
        <v>0</v>
      </c>
      <c r="T266" s="273"/>
      <c r="U266" s="274"/>
      <c r="V266" s="275"/>
    </row>
    <row r="267" spans="3:22" ht="14.55" x14ac:dyDescent="0.3">
      <c r="C267" s="543" t="e">
        <f>'Berechnung - Bauakustik'!C107</f>
        <v>#REF!</v>
      </c>
      <c r="D267" s="543" t="e">
        <f>'Berechnung - Bauakustik'!D107</f>
        <v>#REF!</v>
      </c>
      <c r="E267" s="543" t="e">
        <f>'Berechnung - Bauakustik'!E107</f>
        <v>#REF!</v>
      </c>
      <c r="F267" s="543" t="e">
        <f>'Berechnung - Bauakustik'!F107</f>
        <v>#REF!</v>
      </c>
      <c r="G267" s="543" t="e">
        <f>'Berechnung - Bauakustik'!G107</f>
        <v>#REF!</v>
      </c>
      <c r="H267" s="543" t="e">
        <f>'Berechnung - Bauakustik'!H107</f>
        <v>#REF!</v>
      </c>
      <c r="I267" s="543">
        <f>'Berechnung - Bauakustik'!I107</f>
        <v>0</v>
      </c>
      <c r="J267" s="543">
        <f>'Berechnung - Bauakustik'!J107</f>
        <v>0</v>
      </c>
      <c r="K267" s="543">
        <f>'Berechnung - Bauakustik'!K107</f>
        <v>0</v>
      </c>
      <c r="L267" s="543">
        <f>'Berechnung - Bauakustik'!L107</f>
        <v>0</v>
      </c>
      <c r="M267" s="543" t="e">
        <f>'Berechnung - Bauakustik'!M107</f>
        <v>#REF!</v>
      </c>
      <c r="N267" s="543" t="e">
        <f>'Berechnung - Bauakustik'!N107</f>
        <v>#REF!</v>
      </c>
      <c r="O267" s="543">
        <f>'Berechnung - Bauakustik'!O107</f>
        <v>0</v>
      </c>
      <c r="P267" s="543">
        <f>'Berechnung - Bauakustik'!P107</f>
        <v>0</v>
      </c>
      <c r="T267" s="273"/>
      <c r="U267" s="274"/>
      <c r="V267" s="275"/>
    </row>
    <row r="268" spans="3:22" ht="14.55" x14ac:dyDescent="0.3">
      <c r="C268" s="543" t="e">
        <f>'Berechnung - Bauakustik'!C108</f>
        <v>#REF!</v>
      </c>
      <c r="D268" s="543" t="e">
        <f>'Berechnung - Bauakustik'!D108</f>
        <v>#REF!</v>
      </c>
      <c r="E268" s="543" t="e">
        <f>'Berechnung - Bauakustik'!E108</f>
        <v>#REF!</v>
      </c>
      <c r="F268" s="543" t="e">
        <f>'Berechnung - Bauakustik'!F108</f>
        <v>#REF!</v>
      </c>
      <c r="G268" s="543" t="e">
        <f>'Berechnung - Bauakustik'!G108</f>
        <v>#REF!</v>
      </c>
      <c r="H268" s="543" t="e">
        <f>'Berechnung - Bauakustik'!H108</f>
        <v>#REF!</v>
      </c>
      <c r="I268" s="543">
        <f>'Berechnung - Bauakustik'!I108</f>
        <v>0</v>
      </c>
      <c r="J268" s="543">
        <f>'Berechnung - Bauakustik'!J108</f>
        <v>0</v>
      </c>
      <c r="K268" s="543">
        <f>'Berechnung - Bauakustik'!K108</f>
        <v>0</v>
      </c>
      <c r="L268" s="543">
        <f>'Berechnung - Bauakustik'!L108</f>
        <v>0</v>
      </c>
      <c r="M268" s="543" t="e">
        <f>'Berechnung - Bauakustik'!M108</f>
        <v>#REF!</v>
      </c>
      <c r="N268" s="543" t="e">
        <f>'Berechnung - Bauakustik'!N108</f>
        <v>#REF!</v>
      </c>
      <c r="O268" s="543">
        <f>'Berechnung - Bauakustik'!O108</f>
        <v>0</v>
      </c>
      <c r="P268" s="543">
        <f>'Berechnung - Bauakustik'!P108</f>
        <v>0</v>
      </c>
      <c r="T268" s="273"/>
      <c r="U268" s="274"/>
      <c r="V268" s="275"/>
    </row>
    <row r="269" spans="3:22" ht="14.55" x14ac:dyDescent="0.3">
      <c r="C269" s="543" t="e">
        <f>'Berechnung - Bauakustik'!C109</f>
        <v>#REF!</v>
      </c>
      <c r="D269" s="543" t="e">
        <f>'Berechnung - Bauakustik'!D109</f>
        <v>#REF!</v>
      </c>
      <c r="E269" s="543" t="e">
        <f>'Berechnung - Bauakustik'!E109</f>
        <v>#REF!</v>
      </c>
      <c r="F269" s="543" t="e">
        <f>'Berechnung - Bauakustik'!F109</f>
        <v>#REF!</v>
      </c>
      <c r="G269" s="543" t="e">
        <f>'Berechnung - Bauakustik'!G109</f>
        <v>#REF!</v>
      </c>
      <c r="H269" s="543" t="e">
        <f>'Berechnung - Bauakustik'!H109</f>
        <v>#REF!</v>
      </c>
      <c r="I269" s="543">
        <f>'Berechnung - Bauakustik'!I109</f>
        <v>0</v>
      </c>
      <c r="J269" s="543">
        <f>'Berechnung - Bauakustik'!J109</f>
        <v>0</v>
      </c>
      <c r="K269" s="543">
        <f>'Berechnung - Bauakustik'!K109</f>
        <v>0</v>
      </c>
      <c r="L269" s="543">
        <f>'Berechnung - Bauakustik'!L109</f>
        <v>0</v>
      </c>
      <c r="M269" s="543" t="e">
        <f>'Berechnung - Bauakustik'!M109</f>
        <v>#REF!</v>
      </c>
      <c r="N269" s="543" t="e">
        <f>'Berechnung - Bauakustik'!N109</f>
        <v>#REF!</v>
      </c>
      <c r="O269" s="543">
        <f>'Berechnung - Bauakustik'!O109</f>
        <v>0</v>
      </c>
      <c r="P269" s="543">
        <f>'Berechnung - Bauakustik'!P109</f>
        <v>0</v>
      </c>
      <c r="T269" s="273"/>
      <c r="U269" s="274"/>
      <c r="V269" s="275"/>
    </row>
    <row r="270" spans="3:22" ht="14.55" x14ac:dyDescent="0.3">
      <c r="C270" s="543" t="e">
        <f>'Berechnung - Bauakustik'!C110</f>
        <v>#REF!</v>
      </c>
      <c r="D270" s="543" t="e">
        <f>'Berechnung - Bauakustik'!D110</f>
        <v>#REF!</v>
      </c>
      <c r="E270" s="543" t="e">
        <f>'Berechnung - Bauakustik'!E110</f>
        <v>#REF!</v>
      </c>
      <c r="F270" s="543" t="e">
        <f>'Berechnung - Bauakustik'!F110</f>
        <v>#REF!</v>
      </c>
      <c r="G270" s="543" t="e">
        <f>'Berechnung - Bauakustik'!G110</f>
        <v>#REF!</v>
      </c>
      <c r="H270" s="543" t="e">
        <f>'Berechnung - Bauakustik'!H110</f>
        <v>#REF!</v>
      </c>
      <c r="I270" s="543">
        <f>'Berechnung - Bauakustik'!I110</f>
        <v>0</v>
      </c>
      <c r="J270" s="543">
        <f>'Berechnung - Bauakustik'!J110</f>
        <v>0</v>
      </c>
      <c r="K270" s="543">
        <f>'Berechnung - Bauakustik'!K110</f>
        <v>0</v>
      </c>
      <c r="L270" s="543">
        <f>'Berechnung - Bauakustik'!L110</f>
        <v>0</v>
      </c>
      <c r="M270" s="543" t="e">
        <f>'Berechnung - Bauakustik'!M110</f>
        <v>#REF!</v>
      </c>
      <c r="N270" s="543" t="e">
        <f>'Berechnung - Bauakustik'!N110</f>
        <v>#REF!</v>
      </c>
      <c r="O270" s="543">
        <f>'Berechnung - Bauakustik'!O110</f>
        <v>0</v>
      </c>
      <c r="P270" s="543">
        <f>'Berechnung - Bauakustik'!P110</f>
        <v>0</v>
      </c>
      <c r="T270" s="273"/>
      <c r="U270" s="274"/>
      <c r="V270" s="275"/>
    </row>
    <row r="271" spans="3:22" ht="14.55" x14ac:dyDescent="0.3">
      <c r="C271" s="543" t="e">
        <f>'Berechnung - Bauakustik'!C111</f>
        <v>#REF!</v>
      </c>
      <c r="D271" s="543" t="e">
        <f>'Berechnung - Bauakustik'!D111</f>
        <v>#REF!</v>
      </c>
      <c r="E271" s="543" t="e">
        <f>'Berechnung - Bauakustik'!E111</f>
        <v>#REF!</v>
      </c>
      <c r="F271" s="543" t="e">
        <f>'Berechnung - Bauakustik'!F111</f>
        <v>#REF!</v>
      </c>
      <c r="G271" s="543" t="e">
        <f>'Berechnung - Bauakustik'!G111</f>
        <v>#REF!</v>
      </c>
      <c r="H271" s="543" t="e">
        <f>'Berechnung - Bauakustik'!H111</f>
        <v>#REF!</v>
      </c>
      <c r="I271" s="543">
        <f>'Berechnung - Bauakustik'!I111</f>
        <v>0</v>
      </c>
      <c r="J271" s="543">
        <f>'Berechnung - Bauakustik'!J111</f>
        <v>0</v>
      </c>
      <c r="K271" s="543">
        <f>'Berechnung - Bauakustik'!K111</f>
        <v>0</v>
      </c>
      <c r="L271" s="543">
        <f>'Berechnung - Bauakustik'!L111</f>
        <v>0</v>
      </c>
      <c r="M271" s="543" t="e">
        <f>'Berechnung - Bauakustik'!M111</f>
        <v>#REF!</v>
      </c>
      <c r="N271" s="543" t="e">
        <f>'Berechnung - Bauakustik'!N111</f>
        <v>#REF!</v>
      </c>
      <c r="O271" s="543">
        <f>'Berechnung - Bauakustik'!O111</f>
        <v>0</v>
      </c>
      <c r="P271" s="543">
        <f>'Berechnung - Bauakustik'!P111</f>
        <v>0</v>
      </c>
      <c r="T271" s="273"/>
      <c r="U271" s="274"/>
      <c r="V271" s="275"/>
    </row>
    <row r="272" spans="3:22" ht="14.55" x14ac:dyDescent="0.3">
      <c r="C272" s="543" t="e">
        <f>'Berechnung - Bauakustik'!C112</f>
        <v>#REF!</v>
      </c>
      <c r="D272" s="543" t="e">
        <f>'Berechnung - Bauakustik'!D112</f>
        <v>#REF!</v>
      </c>
      <c r="E272" s="543" t="e">
        <f>'Berechnung - Bauakustik'!E112</f>
        <v>#REF!</v>
      </c>
      <c r="F272" s="543" t="e">
        <f>'Berechnung - Bauakustik'!F112</f>
        <v>#REF!</v>
      </c>
      <c r="G272" s="543" t="e">
        <f>'Berechnung - Bauakustik'!G112</f>
        <v>#REF!</v>
      </c>
      <c r="H272" s="543" t="e">
        <f>'Berechnung - Bauakustik'!H112</f>
        <v>#REF!</v>
      </c>
      <c r="I272" s="543">
        <f>'Berechnung - Bauakustik'!I112</f>
        <v>0</v>
      </c>
      <c r="J272" s="543">
        <f>'Berechnung - Bauakustik'!J112</f>
        <v>0</v>
      </c>
      <c r="K272" s="543">
        <f>'Berechnung - Bauakustik'!K112</f>
        <v>0</v>
      </c>
      <c r="L272" s="543">
        <f>'Berechnung - Bauakustik'!L112</f>
        <v>0</v>
      </c>
      <c r="M272" s="543" t="e">
        <f>'Berechnung - Bauakustik'!M112</f>
        <v>#REF!</v>
      </c>
      <c r="N272" s="543" t="e">
        <f>'Berechnung - Bauakustik'!N112</f>
        <v>#REF!</v>
      </c>
      <c r="O272" s="543">
        <f>'Berechnung - Bauakustik'!O112</f>
        <v>0</v>
      </c>
      <c r="P272" s="543">
        <f>'Berechnung - Bauakustik'!P112</f>
        <v>0</v>
      </c>
      <c r="T272" s="273"/>
      <c r="U272" s="274"/>
      <c r="V272" s="275"/>
    </row>
    <row r="273" spans="3:22" ht="14.55" x14ac:dyDescent="0.3">
      <c r="C273" s="543" t="e">
        <f>'Berechnung - Bauakustik'!C113</f>
        <v>#REF!</v>
      </c>
      <c r="D273" s="543" t="e">
        <f>'Berechnung - Bauakustik'!D113</f>
        <v>#REF!</v>
      </c>
      <c r="E273" s="543" t="e">
        <f>'Berechnung - Bauakustik'!E113</f>
        <v>#REF!</v>
      </c>
      <c r="F273" s="543" t="e">
        <f>'Berechnung - Bauakustik'!F113</f>
        <v>#REF!</v>
      </c>
      <c r="G273" s="543" t="e">
        <f>'Berechnung - Bauakustik'!G113</f>
        <v>#REF!</v>
      </c>
      <c r="H273" s="543" t="e">
        <f>'Berechnung - Bauakustik'!H113</f>
        <v>#REF!</v>
      </c>
      <c r="I273" s="543">
        <f>'Berechnung - Bauakustik'!I113</f>
        <v>0</v>
      </c>
      <c r="J273" s="543">
        <f>'Berechnung - Bauakustik'!J113</f>
        <v>0</v>
      </c>
      <c r="K273" s="543">
        <f>'Berechnung - Bauakustik'!K113</f>
        <v>0</v>
      </c>
      <c r="L273" s="543">
        <f>'Berechnung - Bauakustik'!L113</f>
        <v>0</v>
      </c>
      <c r="M273" s="543" t="e">
        <f>'Berechnung - Bauakustik'!M113</f>
        <v>#REF!</v>
      </c>
      <c r="N273" s="543" t="e">
        <f>'Berechnung - Bauakustik'!N113</f>
        <v>#REF!</v>
      </c>
      <c r="O273" s="543">
        <f>'Berechnung - Bauakustik'!O113</f>
        <v>0</v>
      </c>
      <c r="P273" s="543">
        <f>'Berechnung - Bauakustik'!P113</f>
        <v>0</v>
      </c>
      <c r="T273" s="273"/>
      <c r="U273" s="274"/>
      <c r="V273" s="275"/>
    </row>
    <row r="274" spans="3:22" ht="14.55" x14ac:dyDescent="0.3">
      <c r="T274" s="273"/>
      <c r="U274" s="274"/>
      <c r="V274" s="275"/>
    </row>
    <row r="275" spans="3:22" ht="14.55" x14ac:dyDescent="0.3">
      <c r="T275" s="273"/>
      <c r="U275" s="274"/>
      <c r="V275" s="275"/>
    </row>
    <row r="276" spans="3:22" ht="14.55" x14ac:dyDescent="0.3">
      <c r="T276" s="273"/>
      <c r="U276" s="274"/>
      <c r="V276" s="275"/>
    </row>
    <row r="277" spans="3:22" ht="14.55" x14ac:dyDescent="0.3">
      <c r="T277" s="273"/>
      <c r="U277" s="274"/>
      <c r="V277" s="275"/>
    </row>
    <row r="278" spans="3:22" ht="14.55" x14ac:dyDescent="0.3">
      <c r="T278" s="273"/>
      <c r="U278" s="274"/>
      <c r="V278" s="275"/>
    </row>
    <row r="279" spans="3:22" ht="14.55" x14ac:dyDescent="0.3">
      <c r="T279" s="273"/>
      <c r="U279" s="274"/>
      <c r="V279" s="275"/>
    </row>
    <row r="280" spans="3:22" ht="14.55" x14ac:dyDescent="0.3">
      <c r="T280" s="273"/>
      <c r="U280" s="274"/>
      <c r="V280" s="275"/>
    </row>
    <row r="281" spans="3:22" ht="14.55" x14ac:dyDescent="0.3">
      <c r="T281" s="273"/>
      <c r="U281" s="274"/>
      <c r="V281" s="275"/>
    </row>
    <row r="282" spans="3:22" ht="14.55" x14ac:dyDescent="0.3">
      <c r="T282" s="273"/>
      <c r="U282" s="274"/>
      <c r="V282" s="275"/>
    </row>
    <row r="283" spans="3:22" ht="14.55" x14ac:dyDescent="0.3">
      <c r="T283" s="273"/>
      <c r="U283" s="274"/>
      <c r="V283" s="275"/>
    </row>
    <row r="284" spans="3:22" ht="14.55" x14ac:dyDescent="0.3">
      <c r="T284" s="273"/>
      <c r="U284" s="274"/>
      <c r="V284" s="275"/>
    </row>
    <row r="285" spans="3:22" ht="14.55" x14ac:dyDescent="0.3">
      <c r="T285" s="273"/>
      <c r="U285" s="274"/>
      <c r="V285" s="275"/>
    </row>
    <row r="286" spans="3:22" ht="14.55" x14ac:dyDescent="0.3">
      <c r="T286" s="273"/>
      <c r="U286" s="274"/>
      <c r="V286" s="275"/>
    </row>
    <row r="287" spans="3:22" ht="14.55" x14ac:dyDescent="0.3">
      <c r="T287" s="273"/>
      <c r="U287" s="274"/>
      <c r="V287" s="275"/>
    </row>
    <row r="288" spans="3:22" ht="14.55" x14ac:dyDescent="0.3">
      <c r="T288" s="273"/>
      <c r="U288" s="274"/>
      <c r="V288" s="275"/>
    </row>
    <row r="289" spans="20:22" ht="14.55" x14ac:dyDescent="0.3">
      <c r="T289" s="273"/>
      <c r="U289" s="274"/>
      <c r="V289" s="275"/>
    </row>
    <row r="290" spans="20:22" ht="14.55" x14ac:dyDescent="0.3">
      <c r="T290" s="273"/>
      <c r="U290" s="274"/>
      <c r="V290" s="275"/>
    </row>
    <row r="291" spans="20:22" ht="14.55" x14ac:dyDescent="0.3">
      <c r="T291" s="273"/>
      <c r="U291" s="274"/>
      <c r="V291" s="275"/>
    </row>
    <row r="292" spans="20:22" ht="14.55" x14ac:dyDescent="0.3">
      <c r="T292" s="273"/>
      <c r="U292" s="274"/>
      <c r="V292" s="275"/>
    </row>
    <row r="293" spans="20:22" ht="14.55" x14ac:dyDescent="0.3">
      <c r="T293" s="273"/>
      <c r="U293" s="274"/>
      <c r="V293" s="275"/>
    </row>
    <row r="294" spans="20:22" ht="14.55" x14ac:dyDescent="0.3">
      <c r="T294" s="273"/>
      <c r="U294" s="274"/>
      <c r="V294" s="275"/>
    </row>
    <row r="295" spans="20:22" ht="14.55" x14ac:dyDescent="0.3">
      <c r="T295" s="273"/>
      <c r="U295" s="274"/>
      <c r="V295" s="275"/>
    </row>
    <row r="296" spans="20:22" ht="14.55" x14ac:dyDescent="0.3">
      <c r="T296" s="273"/>
      <c r="U296" s="274"/>
      <c r="V296" s="275"/>
    </row>
    <row r="297" spans="20:22" ht="14.55" x14ac:dyDescent="0.3">
      <c r="T297" s="273"/>
      <c r="U297" s="274"/>
      <c r="V297" s="275"/>
    </row>
    <row r="298" spans="20:22" ht="14.55" x14ac:dyDescent="0.3">
      <c r="T298" s="273"/>
      <c r="U298" s="274"/>
      <c r="V298" s="275"/>
    </row>
    <row r="299" spans="20:22" ht="14.55" x14ac:dyDescent="0.3">
      <c r="T299" s="273"/>
      <c r="U299" s="274"/>
      <c r="V299" s="275"/>
    </row>
    <row r="300" spans="20:22" ht="14.55" x14ac:dyDescent="0.3">
      <c r="T300" s="273"/>
      <c r="U300" s="274"/>
      <c r="V300" s="275"/>
    </row>
    <row r="301" spans="20:22" ht="14.55" x14ac:dyDescent="0.3">
      <c r="T301" s="273"/>
      <c r="U301" s="274"/>
      <c r="V301" s="275"/>
    </row>
    <row r="302" spans="20:22" ht="14.55" x14ac:dyDescent="0.3">
      <c r="T302" s="273"/>
      <c r="U302" s="274"/>
      <c r="V302" s="275"/>
    </row>
    <row r="303" spans="20:22" ht="14.55" x14ac:dyDescent="0.3">
      <c r="T303" s="273"/>
      <c r="U303" s="274"/>
      <c r="V303" s="275"/>
    </row>
    <row r="304" spans="20:22" ht="14.55" x14ac:dyDescent="0.3">
      <c r="T304" s="273"/>
      <c r="U304" s="274"/>
      <c r="V304" s="275"/>
    </row>
    <row r="305" spans="20:22" ht="14.55" x14ac:dyDescent="0.3">
      <c r="T305" s="273"/>
      <c r="U305" s="274"/>
      <c r="V305" s="275"/>
    </row>
    <row r="306" spans="20:22" ht="14.55" x14ac:dyDescent="0.3">
      <c r="T306" s="273"/>
      <c r="U306" s="274"/>
      <c r="V306" s="275"/>
    </row>
    <row r="307" spans="20:22" ht="14.55" x14ac:dyDescent="0.3">
      <c r="T307" s="273"/>
      <c r="U307" s="274"/>
      <c r="V307" s="275"/>
    </row>
    <row r="308" spans="20:22" ht="14.55" x14ac:dyDescent="0.3">
      <c r="T308" s="273"/>
      <c r="U308" s="274"/>
      <c r="V308" s="275"/>
    </row>
    <row r="309" spans="20:22" ht="14.55" x14ac:dyDescent="0.3">
      <c r="T309" s="273"/>
      <c r="U309" s="274"/>
      <c r="V309" s="275"/>
    </row>
    <row r="310" spans="20:22" ht="14.55" x14ac:dyDescent="0.3">
      <c r="T310" s="273"/>
      <c r="U310" s="274"/>
      <c r="V310" s="275"/>
    </row>
    <row r="311" spans="20:22" ht="14.55" x14ac:dyDescent="0.3">
      <c r="T311" s="273"/>
      <c r="U311" s="274"/>
      <c r="V311" s="275"/>
    </row>
    <row r="312" spans="20:22" ht="14.55" x14ac:dyDescent="0.3">
      <c r="T312" s="273"/>
      <c r="U312" s="274"/>
      <c r="V312" s="275"/>
    </row>
    <row r="313" spans="20:22" ht="14.55" x14ac:dyDescent="0.3">
      <c r="T313" s="273"/>
      <c r="U313" s="274"/>
      <c r="V313" s="275"/>
    </row>
    <row r="314" spans="20:22" ht="14.55" x14ac:dyDescent="0.3">
      <c r="T314" s="273"/>
      <c r="U314" s="274"/>
      <c r="V314" s="275"/>
    </row>
    <row r="315" spans="20:22" ht="14.55" x14ac:dyDescent="0.3">
      <c r="T315" s="273"/>
      <c r="U315" s="274"/>
      <c r="V315" s="275"/>
    </row>
    <row r="316" spans="20:22" ht="14.55" x14ac:dyDescent="0.3">
      <c r="T316" s="273"/>
      <c r="U316" s="274"/>
      <c r="V316" s="275"/>
    </row>
    <row r="317" spans="20:22" ht="14.55" x14ac:dyDescent="0.3">
      <c r="T317" s="273"/>
      <c r="U317" s="274"/>
      <c r="V317" s="275"/>
    </row>
    <row r="318" spans="20:22" ht="14.55" x14ac:dyDescent="0.3">
      <c r="T318" s="273"/>
      <c r="U318" s="274"/>
      <c r="V318" s="275"/>
    </row>
    <row r="319" spans="20:22" ht="14.55" x14ac:dyDescent="0.3">
      <c r="T319" s="273"/>
      <c r="U319" s="274"/>
      <c r="V319" s="275"/>
    </row>
    <row r="320" spans="20:22" ht="14.55" x14ac:dyDescent="0.3">
      <c r="T320" s="273"/>
      <c r="U320" s="274"/>
      <c r="V320" s="275"/>
    </row>
    <row r="321" spans="20:22" ht="14.55" x14ac:dyDescent="0.3">
      <c r="T321" s="273"/>
      <c r="U321" s="274"/>
      <c r="V321" s="275"/>
    </row>
    <row r="322" spans="20:22" ht="14.55" x14ac:dyDescent="0.3">
      <c r="T322" s="273"/>
      <c r="U322" s="274"/>
      <c r="V322" s="275"/>
    </row>
    <row r="323" spans="20:22" ht="14.55" x14ac:dyDescent="0.3">
      <c r="T323" s="273"/>
      <c r="U323" s="274"/>
      <c r="V323" s="275"/>
    </row>
    <row r="324" spans="20:22" ht="14.55" x14ac:dyDescent="0.3">
      <c r="T324" s="273"/>
      <c r="U324" s="274"/>
      <c r="V324" s="275"/>
    </row>
    <row r="325" spans="20:22" ht="14.55" x14ac:dyDescent="0.3">
      <c r="T325" s="273"/>
      <c r="U325" s="274"/>
      <c r="V325" s="275"/>
    </row>
    <row r="326" spans="20:22" ht="14.55" x14ac:dyDescent="0.3">
      <c r="T326" s="273"/>
      <c r="U326" s="274"/>
      <c r="V326" s="275"/>
    </row>
    <row r="327" spans="20:22" ht="14.55" x14ac:dyDescent="0.3">
      <c r="T327" s="273"/>
      <c r="U327" s="274"/>
      <c r="V327" s="275"/>
    </row>
    <row r="328" spans="20:22" ht="14.55" x14ac:dyDescent="0.3">
      <c r="T328" s="273"/>
      <c r="U328" s="274"/>
      <c r="V328" s="275"/>
    </row>
    <row r="329" spans="20:22" ht="14.55" x14ac:dyDescent="0.3">
      <c r="T329" s="273"/>
      <c r="U329" s="274"/>
      <c r="V329" s="275"/>
    </row>
    <row r="330" spans="20:22" ht="14.55" x14ac:dyDescent="0.3">
      <c r="T330" s="273"/>
      <c r="U330" s="274"/>
      <c r="V330" s="275"/>
    </row>
    <row r="331" spans="20:22" ht="14.55" x14ac:dyDescent="0.3">
      <c r="T331" s="273"/>
      <c r="U331" s="274"/>
      <c r="V331" s="275"/>
    </row>
    <row r="332" spans="20:22" ht="14.55" x14ac:dyDescent="0.3">
      <c r="T332" s="273"/>
      <c r="U332" s="274"/>
      <c r="V332" s="275"/>
    </row>
    <row r="333" spans="20:22" ht="14.55" x14ac:dyDescent="0.3">
      <c r="T333" s="273"/>
      <c r="U333" s="274"/>
      <c r="V333" s="275"/>
    </row>
    <row r="334" spans="20:22" ht="14.55" x14ac:dyDescent="0.3">
      <c r="T334" s="273"/>
      <c r="U334" s="274"/>
      <c r="V334" s="275"/>
    </row>
    <row r="335" spans="20:22" ht="14.55" x14ac:dyDescent="0.3">
      <c r="T335" s="273"/>
      <c r="U335" s="274"/>
      <c r="V335" s="275"/>
    </row>
    <row r="336" spans="20:22" ht="14.55" x14ac:dyDescent="0.3">
      <c r="T336" s="273"/>
      <c r="U336" s="274"/>
      <c r="V336" s="275"/>
    </row>
    <row r="337" spans="20:22" ht="14.55" x14ac:dyDescent="0.3">
      <c r="T337" s="273"/>
      <c r="U337" s="274"/>
      <c r="V337" s="275"/>
    </row>
    <row r="338" spans="20:22" ht="14.55" x14ac:dyDescent="0.3">
      <c r="T338" s="273"/>
      <c r="U338" s="274"/>
      <c r="V338" s="275"/>
    </row>
    <row r="339" spans="20:22" ht="14.55" x14ac:dyDescent="0.3">
      <c r="T339" s="273"/>
      <c r="U339" s="274"/>
      <c r="V339" s="275"/>
    </row>
    <row r="340" spans="20:22" ht="14.55" x14ac:dyDescent="0.3">
      <c r="T340" s="273"/>
      <c r="U340" s="274"/>
      <c r="V340" s="275"/>
    </row>
    <row r="341" spans="20:22" ht="14.55" x14ac:dyDescent="0.3">
      <c r="T341" s="273"/>
      <c r="U341" s="274"/>
      <c r="V341" s="275"/>
    </row>
    <row r="342" spans="20:22" ht="14.55" x14ac:dyDescent="0.3">
      <c r="T342" s="273"/>
      <c r="U342" s="274"/>
      <c r="V342" s="275"/>
    </row>
    <row r="343" spans="20:22" ht="14.55" x14ac:dyDescent="0.3">
      <c r="T343" s="273"/>
      <c r="U343" s="274"/>
      <c r="V343" s="275"/>
    </row>
    <row r="344" spans="20:22" ht="14.55" x14ac:dyDescent="0.3">
      <c r="T344" s="273"/>
      <c r="U344" s="274"/>
      <c r="V344" s="275"/>
    </row>
    <row r="345" spans="20:22" ht="14.55" x14ac:dyDescent="0.3">
      <c r="T345" s="273"/>
      <c r="U345" s="274"/>
      <c r="V345" s="275"/>
    </row>
    <row r="346" spans="20:22" ht="14.55" x14ac:dyDescent="0.3">
      <c r="T346" s="273"/>
      <c r="U346" s="274"/>
      <c r="V346" s="275"/>
    </row>
    <row r="347" spans="20:22" ht="14.55" x14ac:dyDescent="0.3">
      <c r="T347" s="273"/>
      <c r="U347" s="274"/>
      <c r="V347" s="275"/>
    </row>
    <row r="348" spans="20:22" ht="14.55" x14ac:dyDescent="0.3">
      <c r="T348" s="273"/>
      <c r="U348" s="274"/>
      <c r="V348" s="275"/>
    </row>
    <row r="349" spans="20:22" ht="14.55" x14ac:dyDescent="0.3">
      <c r="T349" s="273"/>
      <c r="U349" s="274"/>
      <c r="V349" s="275"/>
    </row>
    <row r="350" spans="20:22" ht="14.55" x14ac:dyDescent="0.3">
      <c r="T350" s="273"/>
      <c r="U350" s="274"/>
      <c r="V350" s="275"/>
    </row>
    <row r="351" spans="20:22" ht="14.55" x14ac:dyDescent="0.3">
      <c r="T351" s="273"/>
      <c r="U351" s="274"/>
      <c r="V351" s="275"/>
    </row>
    <row r="352" spans="20:22" ht="14.55" x14ac:dyDescent="0.3">
      <c r="T352" s="273"/>
      <c r="U352" s="274"/>
      <c r="V352" s="275"/>
    </row>
    <row r="353" spans="20:22" ht="14.55" x14ac:dyDescent="0.3">
      <c r="T353" s="273"/>
      <c r="U353" s="274"/>
      <c r="V353" s="275"/>
    </row>
    <row r="354" spans="20:22" ht="14.55" x14ac:dyDescent="0.3">
      <c r="T354" s="273"/>
      <c r="U354" s="274"/>
      <c r="V354" s="275"/>
    </row>
    <row r="355" spans="20:22" ht="14.55" x14ac:dyDescent="0.3">
      <c r="T355" s="273"/>
      <c r="U355" s="274"/>
      <c r="V355" s="275"/>
    </row>
    <row r="356" spans="20:22" ht="14.55" x14ac:dyDescent="0.3">
      <c r="T356" s="273"/>
      <c r="U356" s="274"/>
      <c r="V356" s="275"/>
    </row>
    <row r="357" spans="20:22" ht="14.55" x14ac:dyDescent="0.3">
      <c r="T357" s="273"/>
      <c r="U357" s="274"/>
      <c r="V357" s="275"/>
    </row>
    <row r="358" spans="20:22" ht="14.55" x14ac:dyDescent="0.3">
      <c r="T358" s="273"/>
      <c r="U358" s="274"/>
      <c r="V358" s="275"/>
    </row>
    <row r="359" spans="20:22" ht="14.55" x14ac:dyDescent="0.3">
      <c r="T359" s="273"/>
      <c r="U359" s="274"/>
      <c r="V359" s="275"/>
    </row>
    <row r="360" spans="20:22" ht="14.55" x14ac:dyDescent="0.3">
      <c r="T360" s="273"/>
      <c r="U360" s="274"/>
      <c r="V360" s="275"/>
    </row>
    <row r="361" spans="20:22" ht="14.55" x14ac:dyDescent="0.3">
      <c r="T361" s="273"/>
      <c r="U361" s="274"/>
      <c r="V361" s="275"/>
    </row>
    <row r="362" spans="20:22" ht="14.55" x14ac:dyDescent="0.3">
      <c r="T362" s="273"/>
      <c r="U362" s="274"/>
      <c r="V362" s="275"/>
    </row>
    <row r="363" spans="20:22" ht="14.55" x14ac:dyDescent="0.3">
      <c r="T363" s="273"/>
      <c r="U363" s="274"/>
      <c r="V363" s="275"/>
    </row>
    <row r="364" spans="20:22" ht="14.55" x14ac:dyDescent="0.3">
      <c r="T364" s="273"/>
      <c r="U364" s="274"/>
      <c r="V364" s="275"/>
    </row>
    <row r="365" spans="20:22" ht="14.55" x14ac:dyDescent="0.3">
      <c r="T365" s="273"/>
      <c r="U365" s="274"/>
      <c r="V365" s="275"/>
    </row>
    <row r="366" spans="20:22" ht="14.55" x14ac:dyDescent="0.3">
      <c r="T366" s="273"/>
      <c r="U366" s="274"/>
      <c r="V366" s="275"/>
    </row>
    <row r="367" spans="20:22" ht="14.55" x14ac:dyDescent="0.3">
      <c r="T367" s="273"/>
      <c r="U367" s="274"/>
      <c r="V367" s="275"/>
    </row>
    <row r="368" spans="20:22" ht="14.55" x14ac:dyDescent="0.3">
      <c r="T368" s="273"/>
      <c r="U368" s="274"/>
      <c r="V368" s="275"/>
    </row>
    <row r="369" spans="20:22" ht="14.55" x14ac:dyDescent="0.3">
      <c r="T369" s="273"/>
      <c r="U369" s="274"/>
      <c r="V369" s="275"/>
    </row>
    <row r="370" spans="20:22" ht="14.55" x14ac:dyDescent="0.3">
      <c r="T370" s="273"/>
      <c r="U370" s="274"/>
      <c r="V370" s="275"/>
    </row>
    <row r="371" spans="20:22" ht="14.55" x14ac:dyDescent="0.3">
      <c r="T371" s="273"/>
      <c r="U371" s="274"/>
      <c r="V371" s="275"/>
    </row>
    <row r="372" spans="20:22" ht="14.55" x14ac:dyDescent="0.3">
      <c r="T372" s="273"/>
      <c r="U372" s="274"/>
      <c r="V372" s="275"/>
    </row>
    <row r="373" spans="20:22" ht="14.55" x14ac:dyDescent="0.3">
      <c r="T373" s="273"/>
      <c r="U373" s="274"/>
      <c r="V373" s="275"/>
    </row>
    <row r="374" spans="20:22" ht="14.55" x14ac:dyDescent="0.3">
      <c r="T374" s="273"/>
      <c r="U374" s="274"/>
      <c r="V374" s="275"/>
    </row>
    <row r="375" spans="20:22" ht="14.55" x14ac:dyDescent="0.3">
      <c r="T375" s="273"/>
      <c r="U375" s="274"/>
      <c r="V375" s="275"/>
    </row>
    <row r="376" spans="20:22" ht="14.55" x14ac:dyDescent="0.3">
      <c r="T376" s="273"/>
      <c r="U376" s="274"/>
      <c r="V376" s="275"/>
    </row>
    <row r="377" spans="20:22" ht="14.55" x14ac:dyDescent="0.3">
      <c r="T377" s="273"/>
      <c r="U377" s="274"/>
      <c r="V377" s="275"/>
    </row>
    <row r="378" spans="20:22" ht="14.55" x14ac:dyDescent="0.3">
      <c r="T378" s="273"/>
      <c r="U378" s="274"/>
      <c r="V378" s="275"/>
    </row>
    <row r="379" spans="20:22" ht="14.55" x14ac:dyDescent="0.3">
      <c r="T379" s="273"/>
      <c r="U379" s="274"/>
      <c r="V379" s="275"/>
    </row>
    <row r="380" spans="20:22" ht="14.55" x14ac:dyDescent="0.3">
      <c r="T380" s="273"/>
      <c r="U380" s="274"/>
      <c r="V380" s="275"/>
    </row>
    <row r="381" spans="20:22" ht="14.55" x14ac:dyDescent="0.3">
      <c r="T381" s="273"/>
      <c r="U381" s="274"/>
      <c r="V381" s="275"/>
    </row>
    <row r="382" spans="20:22" ht="14.55" x14ac:dyDescent="0.3">
      <c r="T382" s="273"/>
      <c r="U382" s="274"/>
      <c r="V382" s="275"/>
    </row>
    <row r="383" spans="20:22" ht="14.55" x14ac:dyDescent="0.3">
      <c r="T383" s="273"/>
      <c r="U383" s="274"/>
      <c r="V383" s="275"/>
    </row>
    <row r="384" spans="20:22" ht="14.55" x14ac:dyDescent="0.3">
      <c r="T384" s="273"/>
      <c r="U384" s="274"/>
      <c r="V384" s="275"/>
    </row>
    <row r="385" spans="20:22" ht="14.55" x14ac:dyDescent="0.3">
      <c r="T385" s="273"/>
      <c r="U385" s="274"/>
      <c r="V385" s="275"/>
    </row>
    <row r="386" spans="20:22" ht="14.55" x14ac:dyDescent="0.3">
      <c r="T386" s="273"/>
      <c r="U386" s="274"/>
      <c r="V386" s="275"/>
    </row>
    <row r="387" spans="20:22" ht="14.55" x14ac:dyDescent="0.3">
      <c r="T387" s="273"/>
      <c r="U387" s="274"/>
      <c r="V387" s="275"/>
    </row>
    <row r="388" spans="20:22" ht="14.55" x14ac:dyDescent="0.3">
      <c r="T388" s="273"/>
      <c r="U388" s="274"/>
      <c r="V388" s="275"/>
    </row>
    <row r="389" spans="20:22" ht="14.55" x14ac:dyDescent="0.3">
      <c r="T389" s="273"/>
      <c r="U389" s="274"/>
      <c r="V389" s="275"/>
    </row>
    <row r="390" spans="20:22" ht="14.55" x14ac:dyDescent="0.3">
      <c r="T390" s="273"/>
      <c r="U390" s="274"/>
      <c r="V390" s="275"/>
    </row>
    <row r="391" spans="20:22" ht="14.55" x14ac:dyDescent="0.3">
      <c r="T391" s="273"/>
      <c r="U391" s="274"/>
      <c r="V391" s="275"/>
    </row>
    <row r="392" spans="20:22" ht="14.55" x14ac:dyDescent="0.3">
      <c r="T392" s="273"/>
      <c r="U392" s="274"/>
      <c r="V392" s="275"/>
    </row>
    <row r="393" spans="20:22" ht="14.55" x14ac:dyDescent="0.3">
      <c r="T393" s="273"/>
      <c r="U393" s="274"/>
      <c r="V393" s="275"/>
    </row>
    <row r="394" spans="20:22" ht="14.55" x14ac:dyDescent="0.3">
      <c r="T394" s="273"/>
      <c r="U394" s="274"/>
      <c r="V394" s="275"/>
    </row>
    <row r="395" spans="20:22" ht="14.55" x14ac:dyDescent="0.3">
      <c r="T395" s="273"/>
      <c r="U395" s="274"/>
      <c r="V395" s="275"/>
    </row>
    <row r="396" spans="20:22" ht="14.55" x14ac:dyDescent="0.3">
      <c r="T396" s="273"/>
      <c r="U396" s="274"/>
      <c r="V396" s="275"/>
    </row>
    <row r="397" spans="20:22" ht="14.55" x14ac:dyDescent="0.3">
      <c r="T397" s="273"/>
      <c r="U397" s="274"/>
      <c r="V397" s="275"/>
    </row>
    <row r="398" spans="20:22" ht="14.55" x14ac:dyDescent="0.3">
      <c r="T398" s="273"/>
      <c r="U398" s="274"/>
      <c r="V398" s="275"/>
    </row>
    <row r="399" spans="20:22" ht="14.55" x14ac:dyDescent="0.3">
      <c r="T399" s="273"/>
      <c r="U399" s="274"/>
      <c r="V399" s="275"/>
    </row>
    <row r="400" spans="20:22" ht="14.55" x14ac:dyDescent="0.3">
      <c r="T400" s="273"/>
      <c r="U400" s="274"/>
      <c r="V400" s="275"/>
    </row>
    <row r="401" spans="20:22" ht="14.55" x14ac:dyDescent="0.3">
      <c r="T401" s="273"/>
      <c r="U401" s="274"/>
      <c r="V401" s="275"/>
    </row>
    <row r="402" spans="20:22" ht="14.55" x14ac:dyDescent="0.3">
      <c r="T402" s="273"/>
      <c r="U402" s="274"/>
      <c r="V402" s="275"/>
    </row>
    <row r="403" spans="20:22" ht="14.55" x14ac:dyDescent="0.3">
      <c r="T403" s="273"/>
      <c r="U403" s="274"/>
      <c r="V403" s="275"/>
    </row>
    <row r="404" spans="20:22" ht="14.55" x14ac:dyDescent="0.3">
      <c r="T404" s="273"/>
      <c r="U404" s="274"/>
      <c r="V404" s="275"/>
    </row>
    <row r="405" spans="20:22" ht="14.55" x14ac:dyDescent="0.3">
      <c r="T405" s="273"/>
      <c r="U405" s="274"/>
      <c r="V405" s="275"/>
    </row>
    <row r="406" spans="20:22" ht="14.55" x14ac:dyDescent="0.3">
      <c r="T406" s="273"/>
      <c r="U406" s="274"/>
      <c r="V406" s="275"/>
    </row>
    <row r="407" spans="20:22" ht="14.55" x14ac:dyDescent="0.3">
      <c r="T407" s="273"/>
      <c r="U407" s="274"/>
      <c r="V407" s="275"/>
    </row>
    <row r="408" spans="20:22" ht="14.55" x14ac:dyDescent="0.3">
      <c r="T408" s="273"/>
      <c r="U408" s="274"/>
      <c r="V408" s="275"/>
    </row>
    <row r="409" spans="20:22" ht="14.55" x14ac:dyDescent="0.3">
      <c r="T409" s="273"/>
      <c r="U409" s="274"/>
      <c r="V409" s="275"/>
    </row>
    <row r="410" spans="20:22" ht="14.55" x14ac:dyDescent="0.3">
      <c r="T410" s="273"/>
      <c r="U410" s="274"/>
      <c r="V410" s="275"/>
    </row>
    <row r="411" spans="20:22" ht="14.55" x14ac:dyDescent="0.3">
      <c r="T411" s="273"/>
      <c r="U411" s="274"/>
      <c r="V411" s="275"/>
    </row>
    <row r="412" spans="20:22" ht="14.55" x14ac:dyDescent="0.3">
      <c r="T412" s="273"/>
      <c r="U412" s="274"/>
      <c r="V412" s="275"/>
    </row>
    <row r="413" spans="20:22" ht="14.55" x14ac:dyDescent="0.3">
      <c r="T413" s="273"/>
      <c r="U413" s="274"/>
      <c r="V413" s="275"/>
    </row>
    <row r="414" spans="20:22" ht="14.55" x14ac:dyDescent="0.3">
      <c r="T414" s="273"/>
      <c r="U414" s="274"/>
      <c r="V414" s="275"/>
    </row>
    <row r="415" spans="20:22" ht="14.55" x14ac:dyDescent="0.3">
      <c r="T415" s="273"/>
      <c r="U415" s="274"/>
      <c r="V415" s="275"/>
    </row>
    <row r="416" spans="20:22" ht="14.55" x14ac:dyDescent="0.3">
      <c r="T416" s="273"/>
      <c r="U416" s="274"/>
      <c r="V416" s="275"/>
    </row>
    <row r="417" spans="20:22" ht="14.55" x14ac:dyDescent="0.3">
      <c r="T417" s="273"/>
      <c r="U417" s="274"/>
      <c r="V417" s="275"/>
    </row>
    <row r="418" spans="20:22" ht="14.55" x14ac:dyDescent="0.3">
      <c r="T418" s="273"/>
      <c r="U418" s="274"/>
      <c r="V418" s="275"/>
    </row>
    <row r="419" spans="20:22" ht="14.55" x14ac:dyDescent="0.3">
      <c r="T419" s="273"/>
      <c r="U419" s="274"/>
      <c r="V419" s="275"/>
    </row>
    <row r="420" spans="20:22" ht="14.55" x14ac:dyDescent="0.3">
      <c r="T420" s="273"/>
      <c r="U420" s="274"/>
      <c r="V420" s="275"/>
    </row>
    <row r="421" spans="20:22" ht="14.55" x14ac:dyDescent="0.3">
      <c r="T421" s="273"/>
      <c r="U421" s="274"/>
      <c r="V421" s="275"/>
    </row>
    <row r="422" spans="20:22" ht="14.55" x14ac:dyDescent="0.3">
      <c r="T422" s="273"/>
      <c r="U422" s="274"/>
      <c r="V422" s="275"/>
    </row>
    <row r="423" spans="20:22" ht="14.55" x14ac:dyDescent="0.3">
      <c r="T423" s="273"/>
      <c r="U423" s="274"/>
      <c r="V423" s="275"/>
    </row>
    <row r="424" spans="20:22" ht="14.55" x14ac:dyDescent="0.3">
      <c r="T424" s="273"/>
      <c r="U424" s="274"/>
      <c r="V424" s="275"/>
    </row>
    <row r="425" spans="20:22" ht="14.55" x14ac:dyDescent="0.3">
      <c r="T425" s="273"/>
      <c r="U425" s="274"/>
      <c r="V425" s="275"/>
    </row>
    <row r="426" spans="20:22" ht="14.55" x14ac:dyDescent="0.3">
      <c r="T426" s="273"/>
      <c r="U426" s="274"/>
      <c r="V426" s="275"/>
    </row>
    <row r="427" spans="20:22" ht="14.55" x14ac:dyDescent="0.3">
      <c r="T427" s="273"/>
      <c r="U427" s="274"/>
      <c r="V427" s="275"/>
    </row>
    <row r="428" spans="20:22" ht="14.55" x14ac:dyDescent="0.3">
      <c r="T428" s="273"/>
      <c r="U428" s="274"/>
      <c r="V428" s="275"/>
    </row>
    <row r="429" spans="20:22" ht="14.55" x14ac:dyDescent="0.3">
      <c r="T429" s="273"/>
      <c r="U429" s="274"/>
      <c r="V429" s="275"/>
    </row>
    <row r="430" spans="20:22" ht="14.55" x14ac:dyDescent="0.3">
      <c r="T430" s="273"/>
      <c r="U430" s="274"/>
      <c r="V430" s="275"/>
    </row>
    <row r="431" spans="20:22" ht="14.55" x14ac:dyDescent="0.3">
      <c r="T431" s="273"/>
      <c r="U431" s="274"/>
      <c r="V431" s="275"/>
    </row>
    <row r="432" spans="20:22" ht="14.55" x14ac:dyDescent="0.3">
      <c r="T432" s="273"/>
      <c r="U432" s="274"/>
      <c r="V432" s="275"/>
    </row>
    <row r="433" spans="20:22" ht="14.55" x14ac:dyDescent="0.3">
      <c r="T433" s="273"/>
      <c r="U433" s="274"/>
      <c r="V433" s="275"/>
    </row>
    <row r="434" spans="20:22" ht="14.55" x14ac:dyDescent="0.3">
      <c r="T434" s="273"/>
      <c r="U434" s="274"/>
      <c r="V434" s="275"/>
    </row>
    <row r="435" spans="20:22" ht="14.55" x14ac:dyDescent="0.3">
      <c r="T435" s="273"/>
      <c r="U435" s="274"/>
      <c r="V435" s="275"/>
    </row>
    <row r="436" spans="20:22" ht="14.55" x14ac:dyDescent="0.3">
      <c r="T436" s="273"/>
      <c r="U436" s="274"/>
      <c r="V436" s="275"/>
    </row>
    <row r="437" spans="20:22" ht="14.55" x14ac:dyDescent="0.3">
      <c r="T437" s="273"/>
      <c r="U437" s="274"/>
      <c r="V437" s="275"/>
    </row>
    <row r="438" spans="20:22" ht="14.55" x14ac:dyDescent="0.3">
      <c r="T438" s="273"/>
      <c r="U438" s="274"/>
      <c r="V438" s="275"/>
    </row>
    <row r="439" spans="20:22" ht="14.55" x14ac:dyDescent="0.3">
      <c r="T439" s="273"/>
      <c r="U439" s="274"/>
      <c r="V439" s="275"/>
    </row>
    <row r="440" spans="20:22" ht="14.55" x14ac:dyDescent="0.3">
      <c r="T440" s="273"/>
      <c r="U440" s="274"/>
      <c r="V440" s="275"/>
    </row>
    <row r="441" spans="20:22" ht="14.55" x14ac:dyDescent="0.3">
      <c r="T441" s="273"/>
      <c r="U441" s="274"/>
      <c r="V441" s="275"/>
    </row>
    <row r="442" spans="20:22" ht="14.55" x14ac:dyDescent="0.3">
      <c r="T442" s="273"/>
      <c r="U442" s="274"/>
      <c r="V442" s="275"/>
    </row>
    <row r="443" spans="20:22" ht="14.55" x14ac:dyDescent="0.3">
      <c r="T443" s="273"/>
      <c r="U443" s="274"/>
      <c r="V443" s="275"/>
    </row>
    <row r="444" spans="20:22" ht="14.55" x14ac:dyDescent="0.3">
      <c r="T444" s="273"/>
      <c r="U444" s="274"/>
      <c r="V444" s="275"/>
    </row>
    <row r="445" spans="20:22" ht="14.55" x14ac:dyDescent="0.3">
      <c r="T445" s="273"/>
      <c r="U445" s="274"/>
      <c r="V445" s="275"/>
    </row>
    <row r="446" spans="20:22" ht="14.55" x14ac:dyDescent="0.3">
      <c r="T446" s="273"/>
      <c r="U446" s="274"/>
      <c r="V446" s="275"/>
    </row>
    <row r="447" spans="20:22" ht="14.55" x14ac:dyDescent="0.3">
      <c r="T447" s="273"/>
      <c r="U447" s="274"/>
      <c r="V447" s="275"/>
    </row>
    <row r="448" spans="20:22" ht="14.55" x14ac:dyDescent="0.3">
      <c r="T448" s="273"/>
      <c r="U448" s="274"/>
      <c r="V448" s="275"/>
    </row>
    <row r="449" spans="20:22" ht="14.55" x14ac:dyDescent="0.3">
      <c r="T449" s="273"/>
      <c r="U449" s="274"/>
      <c r="V449" s="275"/>
    </row>
    <row r="450" spans="20:22" ht="14.55" x14ac:dyDescent="0.3">
      <c r="T450" s="273"/>
      <c r="U450" s="274"/>
      <c r="V450" s="275"/>
    </row>
    <row r="451" spans="20:22" ht="14.55" x14ac:dyDescent="0.3">
      <c r="T451" s="273"/>
      <c r="U451" s="274"/>
      <c r="V451" s="275"/>
    </row>
    <row r="452" spans="20:22" ht="14.55" x14ac:dyDescent="0.3">
      <c r="T452" s="273"/>
      <c r="U452" s="274"/>
      <c r="V452" s="275"/>
    </row>
    <row r="453" spans="20:22" ht="14.55" x14ac:dyDescent="0.3">
      <c r="T453" s="273"/>
      <c r="U453" s="274"/>
      <c r="V453" s="275"/>
    </row>
    <row r="454" spans="20:22" ht="14.55" x14ac:dyDescent="0.3">
      <c r="T454" s="273"/>
      <c r="U454" s="274"/>
      <c r="V454" s="275"/>
    </row>
    <row r="455" spans="20:22" ht="14.55" x14ac:dyDescent="0.3">
      <c r="T455" s="273"/>
      <c r="U455" s="274"/>
      <c r="V455" s="275"/>
    </row>
    <row r="456" spans="20:22" ht="14.55" x14ac:dyDescent="0.3">
      <c r="T456" s="273"/>
      <c r="U456" s="274"/>
      <c r="V456" s="275"/>
    </row>
    <row r="457" spans="20:22" ht="14.55" x14ac:dyDescent="0.3">
      <c r="T457" s="273"/>
      <c r="U457" s="274"/>
      <c r="V457" s="275"/>
    </row>
    <row r="458" spans="20:22" ht="14.55" x14ac:dyDescent="0.3">
      <c r="T458" s="273"/>
      <c r="U458" s="274"/>
      <c r="V458" s="275"/>
    </row>
    <row r="459" spans="20:22" ht="14.55" x14ac:dyDescent="0.3">
      <c r="T459" s="273"/>
      <c r="U459" s="274"/>
      <c r="V459" s="275"/>
    </row>
    <row r="460" spans="20:22" ht="14.55" x14ac:dyDescent="0.3">
      <c r="T460" s="273"/>
      <c r="U460" s="274"/>
      <c r="V460" s="275"/>
    </row>
    <row r="461" spans="20:22" ht="14.55" x14ac:dyDescent="0.3">
      <c r="T461" s="273"/>
      <c r="U461" s="274"/>
      <c r="V461" s="275"/>
    </row>
    <row r="462" spans="20:22" ht="14.55" x14ac:dyDescent="0.3">
      <c r="T462" s="273"/>
      <c r="U462" s="274"/>
      <c r="V462" s="275"/>
    </row>
    <row r="463" spans="20:22" ht="14.55" x14ac:dyDescent="0.3">
      <c r="T463" s="273"/>
      <c r="U463" s="274"/>
      <c r="V463" s="275"/>
    </row>
    <row r="464" spans="20:22" ht="14.55" x14ac:dyDescent="0.3">
      <c r="T464" s="273"/>
      <c r="U464" s="274"/>
      <c r="V464" s="275"/>
    </row>
    <row r="465" spans="20:22" ht="14.55" x14ac:dyDescent="0.3">
      <c r="T465" s="273"/>
      <c r="U465" s="274"/>
      <c r="V465" s="275"/>
    </row>
    <row r="466" spans="20:22" ht="14.55" x14ac:dyDescent="0.3">
      <c r="T466" s="273"/>
      <c r="U466" s="274"/>
      <c r="V466" s="275"/>
    </row>
    <row r="467" spans="20:22" ht="14.55" x14ac:dyDescent="0.3">
      <c r="T467" s="273"/>
      <c r="U467" s="274"/>
      <c r="V467" s="275"/>
    </row>
    <row r="468" spans="20:22" ht="14.55" x14ac:dyDescent="0.3">
      <c r="T468" s="273"/>
      <c r="U468" s="274"/>
      <c r="V468" s="275"/>
    </row>
    <row r="469" spans="20:22" ht="14.55" x14ac:dyDescent="0.3">
      <c r="T469" s="273"/>
      <c r="U469" s="274"/>
      <c r="V469" s="275"/>
    </row>
    <row r="470" spans="20:22" ht="14.55" x14ac:dyDescent="0.3">
      <c r="T470" s="273"/>
      <c r="U470" s="274"/>
      <c r="V470" s="275"/>
    </row>
    <row r="471" spans="20:22" ht="14.55" x14ac:dyDescent="0.3">
      <c r="T471" s="273"/>
      <c r="U471" s="274"/>
      <c r="V471" s="275"/>
    </row>
    <row r="472" spans="20:22" ht="14.55" x14ac:dyDescent="0.3">
      <c r="T472" s="273"/>
      <c r="U472" s="274"/>
      <c r="V472" s="275"/>
    </row>
    <row r="473" spans="20:22" ht="14.55" x14ac:dyDescent="0.3">
      <c r="T473" s="273"/>
      <c r="U473" s="274"/>
      <c r="V473" s="275"/>
    </row>
    <row r="474" spans="20:22" ht="14.55" x14ac:dyDescent="0.3">
      <c r="T474" s="273"/>
      <c r="U474" s="274"/>
      <c r="V474" s="275"/>
    </row>
    <row r="475" spans="20:22" ht="14.55" x14ac:dyDescent="0.3">
      <c r="T475" s="273"/>
      <c r="U475" s="274"/>
      <c r="V475" s="275"/>
    </row>
    <row r="476" spans="20:22" ht="14.55" x14ac:dyDescent="0.3">
      <c r="T476" s="273"/>
      <c r="U476" s="274"/>
      <c r="V476" s="275"/>
    </row>
    <row r="477" spans="20:22" ht="14.55" x14ac:dyDescent="0.3">
      <c r="T477" s="273"/>
      <c r="U477" s="274"/>
      <c r="V477" s="275"/>
    </row>
    <row r="478" spans="20:22" ht="14.55" x14ac:dyDescent="0.3">
      <c r="T478" s="273"/>
      <c r="U478" s="274"/>
      <c r="V478" s="275"/>
    </row>
    <row r="479" spans="20:22" ht="14.55" x14ac:dyDescent="0.3">
      <c r="T479" s="273"/>
      <c r="U479" s="274"/>
      <c r="V479" s="275"/>
    </row>
    <row r="480" spans="20:22" ht="14.55" x14ac:dyDescent="0.3">
      <c r="T480" s="273"/>
      <c r="U480" s="274"/>
      <c r="V480" s="275"/>
    </row>
    <row r="481" spans="20:22" ht="14.55" x14ac:dyDescent="0.3">
      <c r="T481" s="273"/>
      <c r="U481" s="274"/>
      <c r="V481" s="275"/>
    </row>
    <row r="482" spans="20:22" ht="14.55" x14ac:dyDescent="0.3">
      <c r="T482" s="273"/>
      <c r="U482" s="274"/>
      <c r="V482" s="275"/>
    </row>
    <row r="483" spans="20:22" ht="14.55" x14ac:dyDescent="0.3">
      <c r="T483" s="273"/>
      <c r="U483" s="274"/>
      <c r="V483" s="275"/>
    </row>
    <row r="484" spans="20:22" ht="14.55" x14ac:dyDescent="0.3">
      <c r="T484" s="273"/>
      <c r="U484" s="274"/>
      <c r="V484" s="275"/>
    </row>
    <row r="485" spans="20:22" ht="14.55" x14ac:dyDescent="0.3">
      <c r="T485" s="273"/>
      <c r="U485" s="274"/>
      <c r="V485" s="275"/>
    </row>
    <row r="486" spans="20:22" ht="14.55" x14ac:dyDescent="0.3">
      <c r="T486" s="273"/>
      <c r="U486" s="274"/>
      <c r="V486" s="275"/>
    </row>
    <row r="487" spans="20:22" ht="14.55" x14ac:dyDescent="0.3">
      <c r="T487" s="273"/>
      <c r="U487" s="274"/>
      <c r="V487" s="275"/>
    </row>
    <row r="488" spans="20:22" ht="14.55" x14ac:dyDescent="0.3">
      <c r="T488" s="273"/>
      <c r="U488" s="274"/>
      <c r="V488" s="275"/>
    </row>
    <row r="489" spans="20:22" ht="14.55" x14ac:dyDescent="0.3">
      <c r="T489" s="273"/>
      <c r="U489" s="274"/>
      <c r="V489" s="275"/>
    </row>
    <row r="490" spans="20:22" ht="14.55" x14ac:dyDescent="0.3">
      <c r="T490" s="273"/>
      <c r="U490" s="274"/>
      <c r="V490" s="275"/>
    </row>
    <row r="491" spans="20:22" ht="14.55" x14ac:dyDescent="0.3">
      <c r="T491" s="273"/>
      <c r="U491" s="274"/>
      <c r="V491" s="275"/>
    </row>
    <row r="492" spans="20:22" ht="14.55" x14ac:dyDescent="0.3">
      <c r="T492" s="273"/>
      <c r="U492" s="274"/>
      <c r="V492" s="275"/>
    </row>
    <row r="493" spans="20:22" ht="14.55" x14ac:dyDescent="0.3">
      <c r="T493" s="273"/>
      <c r="U493" s="274"/>
      <c r="V493" s="275"/>
    </row>
    <row r="494" spans="20:22" ht="14.55" x14ac:dyDescent="0.3">
      <c r="T494" s="273"/>
      <c r="U494" s="274"/>
      <c r="V494" s="275"/>
    </row>
    <row r="495" spans="20:22" ht="14.55" x14ac:dyDescent="0.3">
      <c r="T495" s="273"/>
      <c r="U495" s="274"/>
      <c r="V495" s="275"/>
    </row>
    <row r="496" spans="20:22" ht="14.55" x14ac:dyDescent="0.3">
      <c r="T496" s="273"/>
      <c r="U496" s="274"/>
      <c r="V496" s="275"/>
    </row>
    <row r="497" spans="20:22" ht="14.55" x14ac:dyDescent="0.3">
      <c r="T497" s="273"/>
      <c r="U497" s="274"/>
      <c r="V497" s="275"/>
    </row>
    <row r="498" spans="20:22" ht="14.55" x14ac:dyDescent="0.3">
      <c r="T498" s="273"/>
      <c r="U498" s="274"/>
      <c r="V498" s="275"/>
    </row>
    <row r="499" spans="20:22" ht="14.55" x14ac:dyDescent="0.3">
      <c r="T499" s="273"/>
      <c r="U499" s="274"/>
      <c r="V499" s="275"/>
    </row>
    <row r="500" spans="20:22" ht="14.55" x14ac:dyDescent="0.3">
      <c r="T500" s="273"/>
      <c r="U500" s="274"/>
      <c r="V500" s="275"/>
    </row>
    <row r="501" spans="20:22" ht="14.55" x14ac:dyDescent="0.3">
      <c r="T501" s="273"/>
      <c r="U501" s="274"/>
      <c r="V501" s="275"/>
    </row>
    <row r="502" spans="20:22" ht="14.55" x14ac:dyDescent="0.3">
      <c r="T502" s="273"/>
      <c r="U502" s="274"/>
      <c r="V502" s="275"/>
    </row>
    <row r="503" spans="20:22" ht="14.55" x14ac:dyDescent="0.3">
      <c r="T503" s="273"/>
      <c r="U503" s="274"/>
      <c r="V503" s="275"/>
    </row>
    <row r="504" spans="20:22" ht="14.55" x14ac:dyDescent="0.3">
      <c r="T504" s="273"/>
      <c r="U504" s="274"/>
      <c r="V504" s="275"/>
    </row>
    <row r="505" spans="20:22" ht="14.55" x14ac:dyDescent="0.3">
      <c r="T505" s="273"/>
      <c r="U505" s="274"/>
      <c r="V505" s="275"/>
    </row>
    <row r="506" spans="20:22" ht="14.55" x14ac:dyDescent="0.3">
      <c r="T506" s="273"/>
      <c r="U506" s="274"/>
      <c r="V506" s="275"/>
    </row>
    <row r="507" spans="20:22" ht="14.55" x14ac:dyDescent="0.3">
      <c r="T507" s="273"/>
      <c r="U507" s="274"/>
      <c r="V507" s="275"/>
    </row>
    <row r="508" spans="20:22" ht="14.55" x14ac:dyDescent="0.3">
      <c r="T508" s="273"/>
      <c r="U508" s="274"/>
      <c r="V508" s="275"/>
    </row>
    <row r="509" spans="20:22" ht="14.55" x14ac:dyDescent="0.3">
      <c r="T509" s="273"/>
      <c r="U509" s="274"/>
      <c r="V509" s="275"/>
    </row>
    <row r="510" spans="20:22" ht="14.55" x14ac:dyDescent="0.3">
      <c r="T510" s="273"/>
      <c r="U510" s="274"/>
      <c r="V510" s="275"/>
    </row>
    <row r="511" spans="20:22" ht="14.55" x14ac:dyDescent="0.3">
      <c r="T511" s="273"/>
      <c r="U511" s="274"/>
      <c r="V511" s="275"/>
    </row>
    <row r="512" spans="20:22" ht="14.55" x14ac:dyDescent="0.3">
      <c r="T512" s="273"/>
      <c r="U512" s="274"/>
      <c r="V512" s="275"/>
    </row>
    <row r="513" spans="20:22" ht="14.55" x14ac:dyDescent="0.3">
      <c r="T513" s="273"/>
      <c r="U513" s="274"/>
      <c r="V513" s="275"/>
    </row>
    <row r="514" spans="20:22" ht="14.55" x14ac:dyDescent="0.3">
      <c r="T514" s="273"/>
      <c r="U514" s="274"/>
      <c r="V514" s="275"/>
    </row>
    <row r="515" spans="20:22" ht="14.55" x14ac:dyDescent="0.3">
      <c r="T515" s="273"/>
      <c r="U515" s="274"/>
      <c r="V515" s="275"/>
    </row>
    <row r="516" spans="20:22" ht="14.55" x14ac:dyDescent="0.3">
      <c r="T516" s="273"/>
      <c r="U516" s="274"/>
      <c r="V516" s="275"/>
    </row>
    <row r="517" spans="20:22" ht="14.55" x14ac:dyDescent="0.3">
      <c r="T517" s="273"/>
      <c r="U517" s="274"/>
      <c r="V517" s="275"/>
    </row>
    <row r="518" spans="20:22" ht="14.55" x14ac:dyDescent="0.3">
      <c r="T518" s="273"/>
      <c r="U518" s="274"/>
      <c r="V518" s="275"/>
    </row>
    <row r="519" spans="20:22" ht="14.55" x14ac:dyDescent="0.3">
      <c r="T519" s="273"/>
      <c r="U519" s="274"/>
      <c r="V519" s="275"/>
    </row>
    <row r="520" spans="20:22" ht="14.55" x14ac:dyDescent="0.3">
      <c r="T520" s="273"/>
      <c r="U520" s="274"/>
      <c r="V520" s="275"/>
    </row>
    <row r="521" spans="20:22" ht="14.55" x14ac:dyDescent="0.3">
      <c r="T521" s="273"/>
      <c r="U521" s="274"/>
      <c r="V521" s="275"/>
    </row>
    <row r="522" spans="20:22" ht="14.55" x14ac:dyDescent="0.3">
      <c r="T522" s="273"/>
      <c r="U522" s="274"/>
      <c r="V522" s="275"/>
    </row>
    <row r="523" spans="20:22" ht="14.55" x14ac:dyDescent="0.3">
      <c r="T523" s="273"/>
      <c r="U523" s="274"/>
      <c r="V523" s="275"/>
    </row>
    <row r="524" spans="20:22" ht="14.55" x14ac:dyDescent="0.3">
      <c r="T524" s="273"/>
      <c r="U524" s="274"/>
      <c r="V524" s="275"/>
    </row>
    <row r="525" spans="20:22" ht="14.55" x14ac:dyDescent="0.3">
      <c r="T525" s="273"/>
      <c r="U525" s="274"/>
      <c r="V525" s="275"/>
    </row>
    <row r="526" spans="20:22" ht="14.55" x14ac:dyDescent="0.3">
      <c r="T526" s="273"/>
      <c r="U526" s="274"/>
      <c r="V526" s="275"/>
    </row>
    <row r="527" spans="20:22" ht="14.55" x14ac:dyDescent="0.3">
      <c r="T527" s="273"/>
      <c r="U527" s="274"/>
      <c r="V527" s="275"/>
    </row>
    <row r="528" spans="20:22" ht="14.55" x14ac:dyDescent="0.3">
      <c r="T528" s="273"/>
      <c r="U528" s="274"/>
      <c r="V528" s="275"/>
    </row>
    <row r="529" spans="20:22" ht="14.55" x14ac:dyDescent="0.3">
      <c r="T529" s="273"/>
      <c r="U529" s="274"/>
      <c r="V529" s="275"/>
    </row>
    <row r="530" spans="20:22" ht="14.55" x14ac:dyDescent="0.3">
      <c r="T530" s="273"/>
      <c r="U530" s="274"/>
      <c r="V530" s="275"/>
    </row>
    <row r="531" spans="20:22" ht="14.55" x14ac:dyDescent="0.3">
      <c r="T531" s="273"/>
      <c r="U531" s="274"/>
      <c r="V531" s="275"/>
    </row>
    <row r="532" spans="20:22" ht="14.55" x14ac:dyDescent="0.3">
      <c r="T532" s="273"/>
      <c r="U532" s="274"/>
      <c r="V532" s="275"/>
    </row>
    <row r="533" spans="20:22" ht="14.55" x14ac:dyDescent="0.3">
      <c r="T533" s="273"/>
      <c r="U533" s="274"/>
      <c r="V533" s="275"/>
    </row>
    <row r="534" spans="20:22" ht="14.55" x14ac:dyDescent="0.3">
      <c r="T534" s="273"/>
      <c r="U534" s="274"/>
      <c r="V534" s="275"/>
    </row>
    <row r="535" spans="20:22" ht="14.55" x14ac:dyDescent="0.3">
      <c r="T535" s="273"/>
      <c r="U535" s="274"/>
      <c r="V535" s="275"/>
    </row>
    <row r="536" spans="20:22" ht="14.55" x14ac:dyDescent="0.3">
      <c r="T536" s="273"/>
      <c r="U536" s="274"/>
      <c r="V536" s="275"/>
    </row>
    <row r="537" spans="20:22" ht="14.55" x14ac:dyDescent="0.3">
      <c r="T537" s="273"/>
      <c r="U537" s="274"/>
      <c r="V537" s="275"/>
    </row>
    <row r="538" spans="20:22" ht="14.55" x14ac:dyDescent="0.3">
      <c r="T538" s="273"/>
      <c r="U538" s="274"/>
      <c r="V538" s="275"/>
    </row>
    <row r="539" spans="20:22" ht="14.55" x14ac:dyDescent="0.3">
      <c r="T539" s="273"/>
      <c r="U539" s="274"/>
      <c r="V539" s="275"/>
    </row>
    <row r="540" spans="20:22" ht="14.55" x14ac:dyDescent="0.3">
      <c r="T540" s="273"/>
      <c r="U540" s="274"/>
      <c r="V540" s="275"/>
    </row>
    <row r="541" spans="20:22" ht="14.55" x14ac:dyDescent="0.3">
      <c r="T541" s="273"/>
      <c r="U541" s="274"/>
      <c r="V541" s="275"/>
    </row>
    <row r="542" spans="20:22" ht="14.55" x14ac:dyDescent="0.3">
      <c r="T542" s="273"/>
      <c r="U542" s="274"/>
      <c r="V542" s="275"/>
    </row>
    <row r="543" spans="20:22" ht="14.55" x14ac:dyDescent="0.3">
      <c r="T543" s="273"/>
      <c r="U543" s="274"/>
      <c r="V543" s="275"/>
    </row>
    <row r="544" spans="20:22" ht="14.55" x14ac:dyDescent="0.3">
      <c r="T544" s="273"/>
      <c r="U544" s="274"/>
      <c r="V544" s="275"/>
    </row>
    <row r="545" spans="20:22" ht="14.55" x14ac:dyDescent="0.3">
      <c r="T545" s="273"/>
      <c r="U545" s="274"/>
      <c r="V545" s="275"/>
    </row>
    <row r="546" spans="20:22" ht="14.55" x14ac:dyDescent="0.3">
      <c r="T546" s="273"/>
      <c r="U546" s="274"/>
      <c r="V546" s="275"/>
    </row>
    <row r="547" spans="20:22" ht="14.55" x14ac:dyDescent="0.3">
      <c r="T547" s="273"/>
      <c r="U547" s="274"/>
      <c r="V547" s="275"/>
    </row>
    <row r="548" spans="20:22" ht="14.55" x14ac:dyDescent="0.3">
      <c r="T548" s="273"/>
      <c r="U548" s="274"/>
      <c r="V548" s="275"/>
    </row>
    <row r="549" spans="20:22" ht="14.55" x14ac:dyDescent="0.3">
      <c r="T549" s="273"/>
      <c r="U549" s="274"/>
      <c r="V549" s="275"/>
    </row>
    <row r="550" spans="20:22" ht="14.55" x14ac:dyDescent="0.3">
      <c r="T550" s="273"/>
      <c r="U550" s="274"/>
      <c r="V550" s="275"/>
    </row>
    <row r="551" spans="20:22" ht="14.55" x14ac:dyDescent="0.3">
      <c r="T551" s="273"/>
      <c r="U551" s="274"/>
      <c r="V551" s="275"/>
    </row>
    <row r="552" spans="20:22" ht="14.55" x14ac:dyDescent="0.3">
      <c r="T552" s="273"/>
      <c r="U552" s="274"/>
      <c r="V552" s="275"/>
    </row>
    <row r="553" spans="20:22" ht="14.55" x14ac:dyDescent="0.3">
      <c r="T553" s="273"/>
      <c r="U553" s="274"/>
      <c r="V553" s="275"/>
    </row>
    <row r="554" spans="20:22" ht="14.55" x14ac:dyDescent="0.3">
      <c r="T554" s="273"/>
      <c r="U554" s="274"/>
      <c r="V554" s="275"/>
    </row>
    <row r="555" spans="20:22" ht="14.55" x14ac:dyDescent="0.3">
      <c r="T555" s="273"/>
      <c r="U555" s="274"/>
      <c r="V555" s="275"/>
    </row>
    <row r="556" spans="20:22" ht="14.55" x14ac:dyDescent="0.3">
      <c r="T556" s="273"/>
      <c r="U556" s="274"/>
      <c r="V556" s="275"/>
    </row>
    <row r="557" spans="20:22" ht="14.55" x14ac:dyDescent="0.3">
      <c r="T557" s="273"/>
      <c r="U557" s="274"/>
      <c r="V557" s="275"/>
    </row>
    <row r="558" spans="20:22" ht="14.55" x14ac:dyDescent="0.3">
      <c r="T558" s="273"/>
      <c r="U558" s="274"/>
      <c r="V558" s="275"/>
    </row>
    <row r="559" spans="20:22" ht="14.55" x14ac:dyDescent="0.3">
      <c r="T559" s="273"/>
      <c r="U559" s="274"/>
      <c r="V559" s="275"/>
    </row>
    <row r="560" spans="20:22" ht="14.55" x14ac:dyDescent="0.3">
      <c r="T560" s="273"/>
      <c r="U560" s="274"/>
      <c r="V560" s="275"/>
    </row>
    <row r="561" spans="20:22" ht="14.55" x14ac:dyDescent="0.3">
      <c r="T561" s="273"/>
      <c r="U561" s="274"/>
      <c r="V561" s="275"/>
    </row>
    <row r="562" spans="20:22" ht="14.55" x14ac:dyDescent="0.3">
      <c r="T562" s="273"/>
      <c r="U562" s="274"/>
      <c r="V562" s="275"/>
    </row>
    <row r="563" spans="20:22" ht="14.55" x14ac:dyDescent="0.3">
      <c r="T563" s="273"/>
      <c r="U563" s="274"/>
      <c r="V563" s="275"/>
    </row>
    <row r="564" spans="20:22" ht="14.55" x14ac:dyDescent="0.3">
      <c r="T564" s="273"/>
      <c r="U564" s="274"/>
      <c r="V564" s="275"/>
    </row>
    <row r="565" spans="20:22" ht="14.55" x14ac:dyDescent="0.3">
      <c r="T565" s="273"/>
      <c r="U565" s="274"/>
      <c r="V565" s="275"/>
    </row>
    <row r="566" spans="20:22" ht="14.55" x14ac:dyDescent="0.3">
      <c r="T566" s="273"/>
      <c r="U566" s="274"/>
      <c r="V566" s="275"/>
    </row>
    <row r="567" spans="20:22" ht="14.55" x14ac:dyDescent="0.3">
      <c r="T567" s="273"/>
      <c r="U567" s="274"/>
      <c r="V567" s="275"/>
    </row>
    <row r="568" spans="20:22" ht="14.55" x14ac:dyDescent="0.3">
      <c r="T568" s="273"/>
      <c r="U568" s="274"/>
      <c r="V568" s="275"/>
    </row>
    <row r="569" spans="20:22" ht="14.55" x14ac:dyDescent="0.3">
      <c r="T569" s="273"/>
      <c r="U569" s="274"/>
      <c r="V569" s="275"/>
    </row>
    <row r="570" spans="20:22" ht="14.55" x14ac:dyDescent="0.3">
      <c r="T570" s="273"/>
      <c r="U570" s="274"/>
      <c r="V570" s="275"/>
    </row>
    <row r="571" spans="20:22" ht="14.55" x14ac:dyDescent="0.3">
      <c r="T571" s="273"/>
      <c r="U571" s="274"/>
      <c r="V571" s="275"/>
    </row>
    <row r="572" spans="20:22" ht="14.55" x14ac:dyDescent="0.3">
      <c r="T572" s="273"/>
      <c r="U572" s="274"/>
      <c r="V572" s="275"/>
    </row>
    <row r="573" spans="20:22" ht="14.55" x14ac:dyDescent="0.3">
      <c r="T573" s="273"/>
      <c r="U573" s="274"/>
      <c r="V573" s="275"/>
    </row>
    <row r="574" spans="20:22" ht="14.55" x14ac:dyDescent="0.3">
      <c r="T574" s="273"/>
      <c r="U574" s="274"/>
      <c r="V574" s="275"/>
    </row>
    <row r="575" spans="20:22" ht="14.55" x14ac:dyDescent="0.3">
      <c r="T575" s="273"/>
      <c r="U575" s="274"/>
      <c r="V575" s="275"/>
    </row>
    <row r="576" spans="20:22" ht="14.55" x14ac:dyDescent="0.3">
      <c r="T576" s="273"/>
      <c r="U576" s="274"/>
      <c r="V576" s="275"/>
    </row>
    <row r="577" spans="20:22" ht="14.55" x14ac:dyDescent="0.3">
      <c r="T577" s="273"/>
      <c r="U577" s="274"/>
      <c r="V577" s="275"/>
    </row>
    <row r="578" spans="20:22" ht="14.55" x14ac:dyDescent="0.3">
      <c r="T578" s="273"/>
      <c r="U578" s="274"/>
      <c r="V578" s="275"/>
    </row>
    <row r="579" spans="20:22" ht="14.55" x14ac:dyDescent="0.3">
      <c r="T579" s="273"/>
      <c r="U579" s="274"/>
      <c r="V579" s="275"/>
    </row>
    <row r="580" spans="20:22" ht="14.55" x14ac:dyDescent="0.3">
      <c r="T580" s="273"/>
      <c r="U580" s="274"/>
      <c r="V580" s="275"/>
    </row>
    <row r="581" spans="20:22" ht="14.55" x14ac:dyDescent="0.3">
      <c r="T581" s="273"/>
      <c r="U581" s="274"/>
      <c r="V581" s="275"/>
    </row>
  </sheetData>
  <sheetProtection selectLockedCells="1"/>
  <mergeCells count="102">
    <mergeCell ref="H101:I101"/>
    <mergeCell ref="J101:K101"/>
    <mergeCell ref="H102:I102"/>
    <mergeCell ref="H98:I98"/>
    <mergeCell ref="J98:K98"/>
    <mergeCell ref="H99:I99"/>
    <mergeCell ref="J99:K99"/>
    <mergeCell ref="H100:I100"/>
    <mergeCell ref="J100:K100"/>
    <mergeCell ref="H95:I95"/>
    <mergeCell ref="J95:K95"/>
    <mergeCell ref="H96:I96"/>
    <mergeCell ref="J96:K96"/>
    <mergeCell ref="H97:I97"/>
    <mergeCell ref="J97:K97"/>
    <mergeCell ref="H92:I92"/>
    <mergeCell ref="J92:K92"/>
    <mergeCell ref="H93:I93"/>
    <mergeCell ref="J93:K93"/>
    <mergeCell ref="H94:I94"/>
    <mergeCell ref="J94:K94"/>
    <mergeCell ref="G88:H88"/>
    <mergeCell ref="I88:J88"/>
    <mergeCell ref="K88:M88"/>
    <mergeCell ref="B89:E89"/>
    <mergeCell ref="L89:M89"/>
    <mergeCell ref="H91:K91"/>
    <mergeCell ref="B80:E80"/>
    <mergeCell ref="L80:M80"/>
    <mergeCell ref="C82:C86"/>
    <mergeCell ref="L82:M82"/>
    <mergeCell ref="L83:M83"/>
    <mergeCell ref="L84:M84"/>
    <mergeCell ref="L85:M85"/>
    <mergeCell ref="L86:M86"/>
    <mergeCell ref="L76:M76"/>
    <mergeCell ref="B77:E77"/>
    <mergeCell ref="L77:M77"/>
    <mergeCell ref="B78:E78"/>
    <mergeCell ref="L78:M78"/>
    <mergeCell ref="B79:E79"/>
    <mergeCell ref="L79:M79"/>
    <mergeCell ref="B69:E69"/>
    <mergeCell ref="L69:M69"/>
    <mergeCell ref="B70:E70"/>
    <mergeCell ref="L70:M70"/>
    <mergeCell ref="B71:E71"/>
    <mergeCell ref="L71:M71"/>
    <mergeCell ref="L61:M61"/>
    <mergeCell ref="L62:M62"/>
    <mergeCell ref="L63:M63"/>
    <mergeCell ref="L67:M67"/>
    <mergeCell ref="B68:E68"/>
    <mergeCell ref="L68:M68"/>
    <mergeCell ref="L52:M52"/>
    <mergeCell ref="L53:M53"/>
    <mergeCell ref="L54:M54"/>
    <mergeCell ref="L55:M55"/>
    <mergeCell ref="E57:E58"/>
    <mergeCell ref="L57:M57"/>
    <mergeCell ref="L58:M58"/>
    <mergeCell ref="L59:M59"/>
    <mergeCell ref="L60:M60"/>
    <mergeCell ref="D57:D63"/>
    <mergeCell ref="D49:D55"/>
    <mergeCell ref="B44:E44"/>
    <mergeCell ref="G44:H44"/>
    <mergeCell ref="G48:H48"/>
    <mergeCell ref="I48:J48"/>
    <mergeCell ref="K48:M48"/>
    <mergeCell ref="E49:E50"/>
    <mergeCell ref="L49:M49"/>
    <mergeCell ref="L50:M50"/>
    <mergeCell ref="L51:M51"/>
    <mergeCell ref="B39:E39"/>
    <mergeCell ref="G39:H39"/>
    <mergeCell ref="I39:J39"/>
    <mergeCell ref="K39:L39"/>
    <mergeCell ref="B43:E43"/>
    <mergeCell ref="G43:H43"/>
    <mergeCell ref="D31:H31"/>
    <mergeCell ref="D33:D37"/>
    <mergeCell ref="G33:G37"/>
    <mergeCell ref="G38:H38"/>
    <mergeCell ref="I38:J38"/>
    <mergeCell ref="K38:L38"/>
    <mergeCell ref="P5:Q5"/>
    <mergeCell ref="D7:E7"/>
    <mergeCell ref="G7:H7"/>
    <mergeCell ref="J7:K7"/>
    <mergeCell ref="M7:N7"/>
    <mergeCell ref="P7:Q7"/>
    <mergeCell ref="B4:B7"/>
    <mergeCell ref="D4:E4"/>
    <mergeCell ref="G4:H4"/>
    <mergeCell ref="J4:K4"/>
    <mergeCell ref="M4:N4"/>
    <mergeCell ref="P4:Q4"/>
    <mergeCell ref="D5:E5"/>
    <mergeCell ref="G5:H5"/>
    <mergeCell ref="J5:K5"/>
    <mergeCell ref="M5:N5"/>
  </mergeCells>
  <conditionalFormatting sqref="C106:P114">
    <cfRule type="cellIs" dxfId="408" priority="8" operator="greaterThan">
      <formula>0</formula>
    </cfRule>
  </conditionalFormatting>
  <conditionalFormatting sqref="B8:B27">
    <cfRule type="colorScale" priority="7">
      <colorScale>
        <cfvo type="min"/>
        <cfvo type="percentile" val="50"/>
        <cfvo type="max"/>
        <color rgb="FF63BE7B"/>
        <color rgb="FFFFEB84"/>
        <color rgb="FFF8696B"/>
      </colorScale>
    </cfRule>
  </conditionalFormatting>
  <conditionalFormatting sqref="D8:D27">
    <cfRule type="colorScale" priority="6">
      <colorScale>
        <cfvo type="min"/>
        <cfvo type="percentile" val="50"/>
        <cfvo type="max"/>
        <color rgb="FF63BE7B"/>
        <color rgb="FFFFEB84"/>
        <color rgb="FFF8696B"/>
      </colorScale>
    </cfRule>
  </conditionalFormatting>
  <conditionalFormatting sqref="E8:E27">
    <cfRule type="colorScale" priority="5">
      <colorScale>
        <cfvo type="min"/>
        <cfvo type="percentile" val="50"/>
        <cfvo type="max"/>
        <color rgb="FF63BE7B"/>
        <color rgb="FFFFEB84"/>
        <color rgb="FFF8696B"/>
      </colorScale>
    </cfRule>
  </conditionalFormatting>
  <conditionalFormatting sqref="G8:G27">
    <cfRule type="colorScale" priority="4">
      <colorScale>
        <cfvo type="min"/>
        <cfvo type="percentile" val="50"/>
        <cfvo type="max"/>
        <color rgb="FF63BE7B"/>
        <color rgb="FFFFEB84"/>
        <color rgb="FFF8696B"/>
      </colorScale>
    </cfRule>
  </conditionalFormatting>
  <conditionalFormatting sqref="H8:H27">
    <cfRule type="colorScale" priority="3">
      <colorScale>
        <cfvo type="min"/>
        <cfvo type="percentile" val="50"/>
        <cfvo type="max"/>
        <color rgb="FF63BE7B"/>
        <color rgb="FFFFEB84"/>
        <color rgb="FFF8696B"/>
      </colorScale>
    </cfRule>
  </conditionalFormatting>
  <conditionalFormatting sqref="J8:J27">
    <cfRule type="colorScale" priority="2">
      <colorScale>
        <cfvo type="min"/>
        <cfvo type="percentile" val="50"/>
        <cfvo type="max"/>
        <color rgb="FF63BE7B"/>
        <color rgb="FFFFEB84"/>
        <color rgb="FFF8696B"/>
      </colorScale>
    </cfRule>
  </conditionalFormatting>
  <conditionalFormatting sqref="K8:K27">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9592-D6F4-4CF4-B826-34DF955DE61B}">
  <sheetPr>
    <tabColor rgb="FFFFC000"/>
  </sheetPr>
  <dimension ref="A2:V581"/>
  <sheetViews>
    <sheetView workbookViewId="0"/>
  </sheetViews>
  <sheetFormatPr baseColWidth="10" defaultColWidth="11.44140625" defaultRowHeight="13.9" x14ac:dyDescent="0.25"/>
  <cols>
    <col min="1" max="1" width="3.33203125" style="73" customWidth="1"/>
    <col min="2" max="2" width="30.44140625" style="73" customWidth="1"/>
    <col min="3" max="3" width="10.5546875" style="73" bestFit="1" customWidth="1"/>
    <col min="4" max="5" width="15.6640625" style="73" customWidth="1"/>
    <col min="6" max="6" width="10.5546875" style="73" bestFit="1" customWidth="1"/>
    <col min="7" max="7" width="17" style="73" customWidth="1"/>
    <col min="8" max="8" width="17.33203125" style="73" customWidth="1"/>
    <col min="9" max="9" width="11.44140625" style="73" customWidth="1"/>
    <col min="10" max="11" width="15.6640625" style="73" customWidth="1"/>
    <col min="12" max="12" width="10.5546875" style="73" bestFit="1" customWidth="1"/>
    <col min="13" max="14" width="15.6640625" style="73" customWidth="1"/>
    <col min="15" max="15" width="10.5546875" style="73" bestFit="1" customWidth="1"/>
    <col min="16" max="17" width="15.6640625" style="73" customWidth="1"/>
    <col min="18" max="19" width="11.44140625" style="73"/>
    <col min="20" max="20" width="49" style="73" bestFit="1" customWidth="1"/>
    <col min="21" max="21" width="27.44140625" style="73" bestFit="1" customWidth="1"/>
    <col min="22" max="22" width="98.88671875" style="73" customWidth="1"/>
    <col min="23" max="16384" width="11.44140625" style="73"/>
  </cols>
  <sheetData>
    <row r="2" spans="1:17" x14ac:dyDescent="0.25">
      <c r="B2" s="383" t="s">
        <v>491</v>
      </c>
    </row>
    <row r="3" spans="1:17" ht="14.55" thickBot="1" x14ac:dyDescent="0.3"/>
    <row r="4" spans="1:17" ht="14.55" x14ac:dyDescent="0.25">
      <c r="A4" s="465"/>
      <c r="B4" s="1195" t="s">
        <v>321</v>
      </c>
      <c r="C4" s="390"/>
      <c r="D4" s="1200" t="s">
        <v>322</v>
      </c>
      <c r="E4" s="1201"/>
      <c r="F4" s="390"/>
      <c r="G4" s="1200" t="s">
        <v>323</v>
      </c>
      <c r="H4" s="1201"/>
      <c r="I4" s="390"/>
      <c r="J4" s="1200" t="s">
        <v>324</v>
      </c>
      <c r="K4" s="1201"/>
      <c r="L4" s="390"/>
      <c r="M4" s="1287" t="s">
        <v>325</v>
      </c>
      <c r="N4" s="1288"/>
      <c r="O4" s="390"/>
      <c r="P4" s="1287" t="s">
        <v>326</v>
      </c>
      <c r="Q4" s="1288"/>
    </row>
    <row r="5" spans="1:17" ht="14.55" x14ac:dyDescent="0.25">
      <c r="A5" s="465"/>
      <c r="B5" s="1196"/>
      <c r="C5" s="390"/>
      <c r="D5" s="1202" t="s">
        <v>327</v>
      </c>
      <c r="E5" s="1203"/>
      <c r="F5" s="390"/>
      <c r="G5" s="1202" t="s">
        <v>328</v>
      </c>
      <c r="H5" s="1203"/>
      <c r="I5" s="390"/>
      <c r="J5" s="1202" t="s">
        <v>329</v>
      </c>
      <c r="K5" s="1203"/>
      <c r="L5" s="390"/>
      <c r="M5" s="1285" t="s">
        <v>492</v>
      </c>
      <c r="N5" s="1286"/>
      <c r="O5" s="390"/>
      <c r="P5" s="1285" t="s">
        <v>493</v>
      </c>
      <c r="Q5" s="1286"/>
    </row>
    <row r="6" spans="1:17" ht="14.55" x14ac:dyDescent="0.25">
      <c r="A6" s="465"/>
      <c r="B6" s="1196"/>
      <c r="C6" s="390"/>
      <c r="D6" s="388" t="s">
        <v>332</v>
      </c>
      <c r="E6" s="389" t="s">
        <v>333</v>
      </c>
      <c r="F6" s="390"/>
      <c r="G6" s="388" t="s">
        <v>332</v>
      </c>
      <c r="H6" s="389" t="s">
        <v>333</v>
      </c>
      <c r="I6" s="390"/>
      <c r="J6" s="388" t="s">
        <v>332</v>
      </c>
      <c r="K6" s="389" t="s">
        <v>333</v>
      </c>
      <c r="L6" s="390"/>
      <c r="M6" s="388" t="s">
        <v>332</v>
      </c>
      <c r="N6" s="389" t="s">
        <v>333</v>
      </c>
      <c r="O6" s="390"/>
      <c r="P6" s="388" t="s">
        <v>332</v>
      </c>
      <c r="Q6" s="389" t="s">
        <v>333</v>
      </c>
    </row>
    <row r="7" spans="1:17" ht="15.2" thickBot="1" x14ac:dyDescent="0.3">
      <c r="A7" s="465"/>
      <c r="B7" s="1197"/>
      <c r="C7" s="390"/>
      <c r="D7" s="1198" t="s">
        <v>3</v>
      </c>
      <c r="E7" s="1199"/>
      <c r="F7" s="390"/>
      <c r="G7" s="1198" t="s">
        <v>3</v>
      </c>
      <c r="H7" s="1199"/>
      <c r="I7" s="390"/>
      <c r="J7" s="1198" t="s">
        <v>3</v>
      </c>
      <c r="K7" s="1199"/>
      <c r="L7" s="390"/>
      <c r="M7" s="1193" t="s">
        <v>3</v>
      </c>
      <c r="N7" s="1194"/>
      <c r="O7" s="390"/>
      <c r="P7" s="1193" t="s">
        <v>3</v>
      </c>
      <c r="Q7" s="1194"/>
    </row>
    <row r="8" spans="1:17" ht="14.55" x14ac:dyDescent="0.25">
      <c r="A8" s="465"/>
      <c r="B8" s="401">
        <v>50000</v>
      </c>
      <c r="C8" s="398"/>
      <c r="D8" s="334">
        <v>1714</v>
      </c>
      <c r="E8" s="334">
        <v>2226</v>
      </c>
      <c r="F8" s="398"/>
      <c r="G8" s="334">
        <f>E8</f>
        <v>2226</v>
      </c>
      <c r="H8" s="334">
        <v>2737</v>
      </c>
      <c r="I8" s="398"/>
      <c r="J8" s="334">
        <f>H8</f>
        <v>2737</v>
      </c>
      <c r="K8" s="334">
        <v>3279</v>
      </c>
      <c r="L8" s="398"/>
      <c r="M8" s="334">
        <f>K8</f>
        <v>3279</v>
      </c>
      <c r="N8" s="334">
        <v>3790</v>
      </c>
      <c r="O8" s="398"/>
      <c r="P8" s="334">
        <f>N8</f>
        <v>3790</v>
      </c>
      <c r="Q8" s="334">
        <v>4301</v>
      </c>
    </row>
    <row r="9" spans="1:17" ht="14.55" x14ac:dyDescent="0.25">
      <c r="A9" s="465"/>
      <c r="B9" s="519">
        <v>75000</v>
      </c>
      <c r="C9" s="398"/>
      <c r="D9" s="402">
        <v>1805</v>
      </c>
      <c r="E9" s="402">
        <v>2343</v>
      </c>
      <c r="F9" s="398"/>
      <c r="G9" s="402">
        <f t="shared" ref="G9:G26" si="0">E9</f>
        <v>2343</v>
      </c>
      <c r="H9" s="402">
        <v>2881</v>
      </c>
      <c r="I9" s="398"/>
      <c r="J9" s="402">
        <f t="shared" ref="J9:J27" si="1">H9</f>
        <v>2881</v>
      </c>
      <c r="K9" s="402">
        <v>3452</v>
      </c>
      <c r="L9" s="398"/>
      <c r="M9" s="402">
        <f t="shared" ref="M9:M27" si="2">K9</f>
        <v>3452</v>
      </c>
      <c r="N9" s="402">
        <v>3990</v>
      </c>
      <c r="O9" s="398"/>
      <c r="P9" s="402">
        <f t="shared" ref="P9:P27" si="3">N9</f>
        <v>3990</v>
      </c>
      <c r="Q9" s="402">
        <v>4528</v>
      </c>
    </row>
    <row r="10" spans="1:17" ht="14.55" x14ac:dyDescent="0.25">
      <c r="A10" s="465"/>
      <c r="B10" s="519">
        <v>100000</v>
      </c>
      <c r="C10" s="398"/>
      <c r="D10" s="402">
        <v>1892</v>
      </c>
      <c r="E10" s="402">
        <v>2457</v>
      </c>
      <c r="F10" s="398"/>
      <c r="G10" s="402">
        <f t="shared" si="0"/>
        <v>2457</v>
      </c>
      <c r="H10" s="402">
        <v>3021</v>
      </c>
      <c r="I10" s="398"/>
      <c r="J10" s="402">
        <f t="shared" si="1"/>
        <v>3021</v>
      </c>
      <c r="K10" s="402">
        <v>3619</v>
      </c>
      <c r="L10" s="398"/>
      <c r="M10" s="402">
        <f t="shared" si="2"/>
        <v>3619</v>
      </c>
      <c r="N10" s="402">
        <v>4183</v>
      </c>
      <c r="O10" s="398"/>
      <c r="P10" s="402">
        <f t="shared" si="3"/>
        <v>4183</v>
      </c>
      <c r="Q10" s="402">
        <v>4748</v>
      </c>
    </row>
    <row r="11" spans="1:17" ht="14.55" x14ac:dyDescent="0.25">
      <c r="A11" s="465"/>
      <c r="B11" s="404">
        <v>150000</v>
      </c>
      <c r="C11" s="398"/>
      <c r="D11" s="402">
        <v>2061</v>
      </c>
      <c r="E11" s="402">
        <v>2676</v>
      </c>
      <c r="F11" s="398"/>
      <c r="G11" s="402">
        <f t="shared" si="0"/>
        <v>2676</v>
      </c>
      <c r="H11" s="402">
        <v>3291</v>
      </c>
      <c r="I11" s="398"/>
      <c r="J11" s="402">
        <f t="shared" si="1"/>
        <v>3291</v>
      </c>
      <c r="K11" s="402">
        <v>3942</v>
      </c>
      <c r="L11" s="398"/>
      <c r="M11" s="402">
        <f t="shared" si="2"/>
        <v>3942</v>
      </c>
      <c r="N11" s="402">
        <v>4557</v>
      </c>
      <c r="O11" s="398"/>
      <c r="P11" s="402">
        <f t="shared" si="3"/>
        <v>4557</v>
      </c>
      <c r="Q11" s="402">
        <v>5171</v>
      </c>
    </row>
    <row r="12" spans="1:17" ht="15.2" thickBot="1" x14ac:dyDescent="0.3">
      <c r="A12" s="465"/>
      <c r="B12" s="520">
        <v>200000</v>
      </c>
      <c r="C12" s="398"/>
      <c r="D12" s="405">
        <v>2225</v>
      </c>
      <c r="E12" s="405">
        <v>2888</v>
      </c>
      <c r="F12" s="398"/>
      <c r="G12" s="405">
        <f t="shared" si="0"/>
        <v>2888</v>
      </c>
      <c r="H12" s="405">
        <v>3551</v>
      </c>
      <c r="I12" s="398"/>
      <c r="J12" s="405">
        <f t="shared" si="1"/>
        <v>3551</v>
      </c>
      <c r="K12" s="405">
        <v>4254</v>
      </c>
      <c r="L12" s="398"/>
      <c r="M12" s="405">
        <f t="shared" si="2"/>
        <v>4254</v>
      </c>
      <c r="N12" s="405">
        <v>4917</v>
      </c>
      <c r="O12" s="398"/>
      <c r="P12" s="405">
        <f t="shared" si="3"/>
        <v>4917</v>
      </c>
      <c r="Q12" s="405">
        <v>5581</v>
      </c>
    </row>
    <row r="13" spans="1:17" ht="14.55" x14ac:dyDescent="0.25">
      <c r="A13" s="465"/>
      <c r="B13" s="401">
        <v>250000</v>
      </c>
      <c r="C13" s="398"/>
      <c r="D13" s="334">
        <v>2384</v>
      </c>
      <c r="E13" s="334">
        <v>3095</v>
      </c>
      <c r="F13" s="398"/>
      <c r="G13" s="334">
        <f t="shared" si="0"/>
        <v>3095</v>
      </c>
      <c r="H13" s="334">
        <v>3806</v>
      </c>
      <c r="I13" s="398"/>
      <c r="J13" s="334">
        <f t="shared" si="1"/>
        <v>3806</v>
      </c>
      <c r="K13" s="334">
        <v>4558</v>
      </c>
      <c r="L13" s="398"/>
      <c r="M13" s="334">
        <f t="shared" si="2"/>
        <v>4558</v>
      </c>
      <c r="N13" s="334">
        <v>5269</v>
      </c>
      <c r="O13" s="398"/>
      <c r="P13" s="334">
        <f t="shared" si="3"/>
        <v>5269</v>
      </c>
      <c r="Q13" s="334">
        <v>5980</v>
      </c>
    </row>
    <row r="14" spans="1:17" ht="14.55" x14ac:dyDescent="0.25">
      <c r="A14" s="465"/>
      <c r="B14" s="404">
        <v>300000</v>
      </c>
      <c r="C14" s="398"/>
      <c r="D14" s="402">
        <v>2540</v>
      </c>
      <c r="E14" s="402">
        <v>3297</v>
      </c>
      <c r="F14" s="398"/>
      <c r="G14" s="402">
        <f t="shared" si="0"/>
        <v>3297</v>
      </c>
      <c r="H14" s="402">
        <v>4055</v>
      </c>
      <c r="I14" s="398"/>
      <c r="J14" s="402">
        <f t="shared" si="1"/>
        <v>4055</v>
      </c>
      <c r="K14" s="402">
        <v>4857</v>
      </c>
      <c r="L14" s="398"/>
      <c r="M14" s="402">
        <f t="shared" si="2"/>
        <v>4857</v>
      </c>
      <c r="N14" s="402">
        <v>5614</v>
      </c>
      <c r="O14" s="398"/>
      <c r="P14" s="402">
        <f t="shared" si="3"/>
        <v>5614</v>
      </c>
      <c r="Q14" s="402">
        <v>6371</v>
      </c>
    </row>
    <row r="15" spans="1:17" ht="14.55" x14ac:dyDescent="0.25">
      <c r="A15" s="465"/>
      <c r="B15" s="404">
        <v>400000</v>
      </c>
      <c r="C15" s="398"/>
      <c r="D15" s="402">
        <v>2844</v>
      </c>
      <c r="E15" s="402">
        <v>3693</v>
      </c>
      <c r="F15" s="398"/>
      <c r="G15" s="402">
        <f t="shared" si="0"/>
        <v>3693</v>
      </c>
      <c r="H15" s="402">
        <v>4541</v>
      </c>
      <c r="I15" s="398"/>
      <c r="J15" s="402">
        <f t="shared" si="1"/>
        <v>4541</v>
      </c>
      <c r="K15" s="402">
        <v>5439</v>
      </c>
      <c r="L15" s="398"/>
      <c r="M15" s="402">
        <f t="shared" si="2"/>
        <v>5439</v>
      </c>
      <c r="N15" s="402">
        <v>6287</v>
      </c>
      <c r="O15" s="398"/>
      <c r="P15" s="402">
        <f t="shared" si="3"/>
        <v>6287</v>
      </c>
      <c r="Q15" s="402">
        <v>7136</v>
      </c>
    </row>
    <row r="16" spans="1:17" ht="14.55" x14ac:dyDescent="0.25">
      <c r="A16" s="465"/>
      <c r="B16" s="404">
        <v>500000</v>
      </c>
      <c r="C16" s="398"/>
      <c r="D16" s="402">
        <v>3141</v>
      </c>
      <c r="E16" s="402">
        <v>4078</v>
      </c>
      <c r="F16" s="398"/>
      <c r="G16" s="402">
        <f t="shared" si="0"/>
        <v>4078</v>
      </c>
      <c r="H16" s="402">
        <v>5015</v>
      </c>
      <c r="I16" s="398"/>
      <c r="J16" s="402">
        <f t="shared" si="1"/>
        <v>5015</v>
      </c>
      <c r="K16" s="402">
        <v>6007</v>
      </c>
      <c r="L16" s="398"/>
      <c r="M16" s="402">
        <f t="shared" si="2"/>
        <v>6007</v>
      </c>
      <c r="N16" s="402">
        <v>6944</v>
      </c>
      <c r="O16" s="398"/>
      <c r="P16" s="402">
        <f t="shared" si="3"/>
        <v>6944</v>
      </c>
      <c r="Q16" s="402">
        <v>7881</v>
      </c>
    </row>
    <row r="17" spans="1:17" ht="15.2" thickBot="1" x14ac:dyDescent="0.3">
      <c r="A17" s="465"/>
      <c r="B17" s="520">
        <v>750000</v>
      </c>
      <c r="C17" s="398"/>
      <c r="D17" s="405">
        <v>3860</v>
      </c>
      <c r="E17" s="405">
        <v>5011</v>
      </c>
      <c r="F17" s="398"/>
      <c r="G17" s="405">
        <f t="shared" si="0"/>
        <v>5011</v>
      </c>
      <c r="H17" s="405">
        <v>6163</v>
      </c>
      <c r="I17" s="398"/>
      <c r="J17" s="405">
        <f t="shared" si="1"/>
        <v>6163</v>
      </c>
      <c r="K17" s="405">
        <v>7382</v>
      </c>
      <c r="L17" s="398"/>
      <c r="M17" s="405">
        <f t="shared" si="2"/>
        <v>7382</v>
      </c>
      <c r="N17" s="405">
        <v>8533</v>
      </c>
      <c r="O17" s="398"/>
      <c r="P17" s="405">
        <f t="shared" si="3"/>
        <v>8533</v>
      </c>
      <c r="Q17" s="405">
        <v>9684</v>
      </c>
    </row>
    <row r="18" spans="1:17" ht="14.55" x14ac:dyDescent="0.25">
      <c r="A18" s="465"/>
      <c r="B18" s="401">
        <v>1000000</v>
      </c>
      <c r="C18" s="398"/>
      <c r="D18" s="334">
        <v>4555</v>
      </c>
      <c r="E18" s="334">
        <v>5913</v>
      </c>
      <c r="F18" s="398"/>
      <c r="G18" s="334">
        <f t="shared" si="0"/>
        <v>5913</v>
      </c>
      <c r="H18" s="334">
        <v>7272</v>
      </c>
      <c r="I18" s="398"/>
      <c r="J18" s="334">
        <f t="shared" si="1"/>
        <v>7272</v>
      </c>
      <c r="K18" s="334">
        <v>8710</v>
      </c>
      <c r="L18" s="398"/>
      <c r="M18" s="334">
        <f t="shared" si="2"/>
        <v>8710</v>
      </c>
      <c r="N18" s="334">
        <v>10069</v>
      </c>
      <c r="O18" s="398"/>
      <c r="P18" s="334">
        <f t="shared" si="3"/>
        <v>10069</v>
      </c>
      <c r="Q18" s="334">
        <v>11427</v>
      </c>
    </row>
    <row r="19" spans="1:17" ht="14.55" x14ac:dyDescent="0.25">
      <c r="A19" s="465"/>
      <c r="B19" s="404">
        <v>1500000</v>
      </c>
      <c r="C19" s="398"/>
      <c r="D19" s="402">
        <v>5896</v>
      </c>
      <c r="E19" s="402">
        <v>7655</v>
      </c>
      <c r="F19" s="398"/>
      <c r="G19" s="402">
        <f t="shared" si="0"/>
        <v>7655</v>
      </c>
      <c r="H19" s="402">
        <v>9413</v>
      </c>
      <c r="I19" s="398"/>
      <c r="J19" s="402">
        <f t="shared" si="1"/>
        <v>9413</v>
      </c>
      <c r="K19" s="402">
        <v>11275</v>
      </c>
      <c r="L19" s="398"/>
      <c r="M19" s="402">
        <f t="shared" si="2"/>
        <v>11275</v>
      </c>
      <c r="N19" s="402">
        <v>13034</v>
      </c>
      <c r="O19" s="398"/>
      <c r="P19" s="402">
        <f t="shared" si="3"/>
        <v>13034</v>
      </c>
      <c r="Q19" s="402">
        <v>14792</v>
      </c>
    </row>
    <row r="20" spans="1:17" ht="14.55" x14ac:dyDescent="0.25">
      <c r="A20" s="465"/>
      <c r="B20" s="404">
        <v>2000000</v>
      </c>
      <c r="C20" s="398"/>
      <c r="D20" s="402">
        <v>7193</v>
      </c>
      <c r="E20" s="402">
        <v>9338</v>
      </c>
      <c r="F20" s="398"/>
      <c r="G20" s="402">
        <f t="shared" si="0"/>
        <v>9338</v>
      </c>
      <c r="H20" s="402">
        <v>11483</v>
      </c>
      <c r="I20" s="398"/>
      <c r="J20" s="402">
        <f t="shared" si="1"/>
        <v>11483</v>
      </c>
      <c r="K20" s="402">
        <v>13755</v>
      </c>
      <c r="L20" s="398"/>
      <c r="M20" s="402">
        <f t="shared" si="2"/>
        <v>13755</v>
      </c>
      <c r="N20" s="402">
        <v>15900</v>
      </c>
      <c r="O20" s="398"/>
      <c r="P20" s="402">
        <f t="shared" si="3"/>
        <v>15900</v>
      </c>
      <c r="Q20" s="402">
        <v>18045</v>
      </c>
    </row>
    <row r="21" spans="1:17" ht="14.55" x14ac:dyDescent="0.25">
      <c r="A21" s="465"/>
      <c r="B21" s="404">
        <v>2500000</v>
      </c>
      <c r="C21" s="398"/>
      <c r="D21" s="402">
        <v>8457</v>
      </c>
      <c r="E21" s="402">
        <v>10979</v>
      </c>
      <c r="F21" s="398"/>
      <c r="G21" s="402">
        <f t="shared" si="0"/>
        <v>10979</v>
      </c>
      <c r="H21" s="402">
        <v>13501</v>
      </c>
      <c r="I21" s="398"/>
      <c r="J21" s="402">
        <f t="shared" si="1"/>
        <v>13501</v>
      </c>
      <c r="K21" s="402">
        <v>16172</v>
      </c>
      <c r="L21" s="398"/>
      <c r="M21" s="402">
        <f t="shared" si="2"/>
        <v>16172</v>
      </c>
      <c r="N21" s="402">
        <v>18694</v>
      </c>
      <c r="O21" s="398"/>
      <c r="P21" s="402">
        <f t="shared" si="3"/>
        <v>18694</v>
      </c>
      <c r="Q21" s="402">
        <v>21217</v>
      </c>
    </row>
    <row r="22" spans="1:17" ht="15.2" thickBot="1" x14ac:dyDescent="0.3">
      <c r="A22" s="465"/>
      <c r="B22" s="520">
        <v>3000000</v>
      </c>
      <c r="C22" s="398"/>
      <c r="D22" s="405">
        <v>9696</v>
      </c>
      <c r="E22" s="405">
        <v>12588</v>
      </c>
      <c r="F22" s="398"/>
      <c r="G22" s="405">
        <f t="shared" si="0"/>
        <v>12588</v>
      </c>
      <c r="H22" s="405">
        <v>15479</v>
      </c>
      <c r="I22" s="398"/>
      <c r="J22" s="405">
        <f t="shared" si="1"/>
        <v>15479</v>
      </c>
      <c r="K22" s="405">
        <v>18541</v>
      </c>
      <c r="L22" s="398"/>
      <c r="M22" s="405">
        <f t="shared" si="2"/>
        <v>18541</v>
      </c>
      <c r="N22" s="405">
        <v>21433</v>
      </c>
      <c r="O22" s="398"/>
      <c r="P22" s="405">
        <f t="shared" si="3"/>
        <v>21433</v>
      </c>
      <c r="Q22" s="405">
        <v>24325</v>
      </c>
    </row>
    <row r="23" spans="1:17" ht="14.55" x14ac:dyDescent="0.25">
      <c r="A23" s="465"/>
      <c r="B23" s="401">
        <v>4000000</v>
      </c>
      <c r="C23" s="398"/>
      <c r="D23" s="334">
        <v>12115</v>
      </c>
      <c r="E23" s="334">
        <v>15729</v>
      </c>
      <c r="F23" s="398"/>
      <c r="G23" s="334">
        <f t="shared" si="0"/>
        <v>15729</v>
      </c>
      <c r="H23" s="334">
        <v>19342</v>
      </c>
      <c r="I23" s="398"/>
      <c r="J23" s="334">
        <f t="shared" si="1"/>
        <v>19342</v>
      </c>
      <c r="K23" s="334">
        <v>23168</v>
      </c>
      <c r="L23" s="398"/>
      <c r="M23" s="334">
        <f t="shared" si="2"/>
        <v>23168</v>
      </c>
      <c r="N23" s="334">
        <v>26781</v>
      </c>
      <c r="O23" s="398"/>
      <c r="P23" s="334">
        <f t="shared" si="3"/>
        <v>26781</v>
      </c>
      <c r="Q23" s="334">
        <v>30395</v>
      </c>
    </row>
    <row r="24" spans="1:17" ht="14.55" x14ac:dyDescent="0.25">
      <c r="A24" s="465"/>
      <c r="B24" s="404">
        <v>5000000</v>
      </c>
      <c r="C24" s="398"/>
      <c r="D24" s="402">
        <v>14474</v>
      </c>
      <c r="E24" s="402">
        <v>18791</v>
      </c>
      <c r="F24" s="398"/>
      <c r="G24" s="402">
        <f t="shared" si="0"/>
        <v>18791</v>
      </c>
      <c r="H24" s="402">
        <v>23108</v>
      </c>
      <c r="I24" s="398"/>
      <c r="J24" s="402">
        <f t="shared" si="1"/>
        <v>23108</v>
      </c>
      <c r="K24" s="402">
        <v>27679</v>
      </c>
      <c r="L24" s="398"/>
      <c r="M24" s="402">
        <f t="shared" si="2"/>
        <v>27679</v>
      </c>
      <c r="N24" s="402">
        <v>31996</v>
      </c>
      <c r="O24" s="398"/>
      <c r="P24" s="402">
        <f t="shared" si="3"/>
        <v>31996</v>
      </c>
      <c r="Q24" s="402">
        <v>36313</v>
      </c>
    </row>
    <row r="25" spans="1:17" ht="14.55" x14ac:dyDescent="0.25">
      <c r="A25" s="465"/>
      <c r="B25" s="404">
        <v>6000000</v>
      </c>
      <c r="C25" s="398"/>
      <c r="D25" s="402">
        <v>16786</v>
      </c>
      <c r="E25" s="402">
        <v>21793</v>
      </c>
      <c r="F25" s="398"/>
      <c r="G25" s="402">
        <f t="shared" si="0"/>
        <v>21793</v>
      </c>
      <c r="H25" s="402">
        <v>26799</v>
      </c>
      <c r="I25" s="398"/>
      <c r="J25" s="402">
        <f t="shared" si="1"/>
        <v>26799</v>
      </c>
      <c r="K25" s="402">
        <v>32100</v>
      </c>
      <c r="L25" s="398"/>
      <c r="M25" s="402">
        <f t="shared" si="2"/>
        <v>32100</v>
      </c>
      <c r="N25" s="402">
        <v>37107</v>
      </c>
      <c r="O25" s="398"/>
      <c r="P25" s="402">
        <f t="shared" si="3"/>
        <v>37107</v>
      </c>
      <c r="Q25" s="402">
        <v>42113</v>
      </c>
    </row>
    <row r="26" spans="1:17" ht="14.55" x14ac:dyDescent="0.25">
      <c r="A26" s="465"/>
      <c r="B26" s="404">
        <v>7000000</v>
      </c>
      <c r="C26" s="398"/>
      <c r="D26" s="402">
        <v>19060</v>
      </c>
      <c r="E26" s="402">
        <v>24744</v>
      </c>
      <c r="F26" s="398"/>
      <c r="G26" s="402">
        <f t="shared" si="0"/>
        <v>24744</v>
      </c>
      <c r="H26" s="402">
        <v>30429</v>
      </c>
      <c r="I26" s="398"/>
      <c r="J26" s="402">
        <f t="shared" si="1"/>
        <v>30429</v>
      </c>
      <c r="K26" s="402">
        <v>36448</v>
      </c>
      <c r="L26" s="398"/>
      <c r="M26" s="402">
        <f t="shared" si="2"/>
        <v>36448</v>
      </c>
      <c r="N26" s="402">
        <v>42133</v>
      </c>
      <c r="O26" s="398"/>
      <c r="P26" s="402">
        <f t="shared" si="3"/>
        <v>42133</v>
      </c>
      <c r="Q26" s="402">
        <v>47817</v>
      </c>
    </row>
    <row r="27" spans="1:17" ht="15.2" thickBot="1" x14ac:dyDescent="0.3">
      <c r="A27" s="465"/>
      <c r="B27" s="408">
        <v>7500000</v>
      </c>
      <c r="C27" s="398"/>
      <c r="D27" s="410">
        <v>20184</v>
      </c>
      <c r="E27" s="410">
        <v>26204</v>
      </c>
      <c r="F27" s="398"/>
      <c r="G27" s="410">
        <f>E27</f>
        <v>26204</v>
      </c>
      <c r="H27" s="410">
        <v>32224</v>
      </c>
      <c r="I27" s="398"/>
      <c r="J27" s="410">
        <f t="shared" si="1"/>
        <v>32224</v>
      </c>
      <c r="K27" s="410">
        <v>38598</v>
      </c>
      <c r="L27" s="398"/>
      <c r="M27" s="410">
        <f t="shared" si="2"/>
        <v>38598</v>
      </c>
      <c r="N27" s="410">
        <v>44618</v>
      </c>
      <c r="O27" s="398"/>
      <c r="P27" s="410">
        <f t="shared" si="3"/>
        <v>44618</v>
      </c>
      <c r="Q27" s="410">
        <v>50638</v>
      </c>
    </row>
    <row r="28" spans="1:17" ht="14.55" x14ac:dyDescent="0.25">
      <c r="A28" s="74"/>
      <c r="B28" s="74"/>
      <c r="C28" s="74"/>
      <c r="D28" s="74"/>
      <c r="E28" s="74"/>
      <c r="F28" s="74"/>
      <c r="G28" s="74"/>
      <c r="H28" s="74"/>
      <c r="I28" s="74"/>
      <c r="J28" s="74"/>
      <c r="K28" s="74"/>
      <c r="L28" s="74"/>
      <c r="M28" s="74"/>
      <c r="N28" s="74"/>
      <c r="O28" s="74"/>
      <c r="P28" s="74"/>
      <c r="Q28" s="74"/>
    </row>
    <row r="29" spans="1:17" ht="14.55" x14ac:dyDescent="0.25">
      <c r="A29" s="74"/>
      <c r="B29" s="449" t="s">
        <v>486</v>
      </c>
      <c r="C29" s="74"/>
      <c r="D29" s="74"/>
      <c r="E29" s="447"/>
      <c r="F29" s="74"/>
      <c r="G29" s="74"/>
      <c r="H29" s="447"/>
      <c r="I29" s="74"/>
      <c r="J29" s="74"/>
      <c r="K29" s="74"/>
      <c r="L29" s="74"/>
      <c r="M29" s="74"/>
      <c r="N29" s="74"/>
      <c r="O29" s="74"/>
      <c r="P29" s="74"/>
      <c r="Q29" s="74"/>
    </row>
    <row r="30" spans="1:17" ht="14.55" x14ac:dyDescent="0.25">
      <c r="A30" s="74"/>
      <c r="B30" s="74"/>
      <c r="C30" s="74"/>
      <c r="D30" s="74"/>
      <c r="E30" s="447"/>
      <c r="F30" s="74"/>
      <c r="G30" s="74"/>
      <c r="H30" s="447"/>
      <c r="I30" s="74"/>
      <c r="J30" s="74"/>
      <c r="K30" s="74"/>
      <c r="L30" s="74"/>
      <c r="M30" s="74"/>
      <c r="N30" s="74"/>
      <c r="O30" s="74"/>
      <c r="P30" s="74"/>
      <c r="Q30" s="74"/>
    </row>
    <row r="31" spans="1:17" ht="14.55" x14ac:dyDescent="0.25">
      <c r="A31" s="74"/>
      <c r="B31" s="74"/>
      <c r="C31" s="74"/>
      <c r="D31" s="1204"/>
      <c r="E31" s="1204"/>
      <c r="F31" s="1204"/>
      <c r="G31" s="1204"/>
      <c r="H31" s="1204"/>
      <c r="I31" s="523"/>
      <c r="J31" s="451"/>
      <c r="K31" s="451"/>
      <c r="L31" s="451"/>
      <c r="M31" s="451"/>
      <c r="N31" s="451"/>
      <c r="O31" s="74"/>
      <c r="P31" s="74"/>
      <c r="Q31" s="74"/>
    </row>
    <row r="32" spans="1:17" ht="14.55" x14ac:dyDescent="0.25">
      <c r="A32" s="74"/>
      <c r="B32" s="74"/>
      <c r="C32" s="74"/>
      <c r="D32" s="74"/>
      <c r="E32" s="447"/>
      <c r="F32" s="74"/>
      <c r="G32" s="74"/>
      <c r="H32" s="447"/>
      <c r="I32" s="74"/>
      <c r="J32" s="74"/>
      <c r="K32" s="74"/>
      <c r="L32" s="74"/>
      <c r="M32" s="74"/>
      <c r="N32" s="74"/>
      <c r="O32" s="74"/>
      <c r="P32" s="74"/>
      <c r="Q32" s="74"/>
    </row>
    <row r="33" spans="1:17" ht="14.55" x14ac:dyDescent="0.25">
      <c r="A33" s="74"/>
      <c r="B33" s="74"/>
      <c r="C33" s="391"/>
      <c r="D33" s="1188" t="s">
        <v>337</v>
      </c>
      <c r="E33" s="387">
        <v>1</v>
      </c>
      <c r="F33" s="391"/>
      <c r="G33" s="1188" t="s">
        <v>338</v>
      </c>
      <c r="H33" s="387" t="s">
        <v>148</v>
      </c>
      <c r="I33" s="391"/>
      <c r="J33" s="74"/>
      <c r="K33" s="397"/>
      <c r="L33" s="391"/>
      <c r="M33" s="74"/>
      <c r="N33" s="397"/>
      <c r="O33" s="412"/>
      <c r="P33" s="465"/>
      <c r="Q33" s="465"/>
    </row>
    <row r="34" spans="1:17" ht="14.55" x14ac:dyDescent="0.25">
      <c r="A34" s="74"/>
      <c r="B34" s="74"/>
      <c r="C34" s="391"/>
      <c r="D34" s="1188"/>
      <c r="E34" s="387">
        <v>2</v>
      </c>
      <c r="F34" s="391"/>
      <c r="G34" s="1188"/>
      <c r="H34" s="387" t="s">
        <v>339</v>
      </c>
      <c r="I34" s="391"/>
      <c r="J34" s="74"/>
      <c r="K34" s="397"/>
      <c r="L34" s="391"/>
      <c r="M34" s="74"/>
      <c r="N34" s="397"/>
      <c r="O34" s="412"/>
      <c r="P34" s="465"/>
      <c r="Q34" s="465"/>
    </row>
    <row r="35" spans="1:17" ht="14.55" x14ac:dyDescent="0.25">
      <c r="A35" s="74"/>
      <c r="B35" s="74"/>
      <c r="C35" s="74"/>
      <c r="D35" s="1188"/>
      <c r="E35" s="387">
        <v>3</v>
      </c>
      <c r="F35" s="74"/>
      <c r="G35" s="1188"/>
      <c r="H35" s="387" t="s">
        <v>340</v>
      </c>
      <c r="I35" s="74"/>
      <c r="J35" s="74"/>
      <c r="K35" s="397"/>
      <c r="L35" s="74"/>
      <c r="M35" s="74"/>
      <c r="N35" s="397"/>
      <c r="O35" s="74"/>
      <c r="P35" s="74"/>
      <c r="Q35" s="74"/>
    </row>
    <row r="36" spans="1:17" ht="14.55" x14ac:dyDescent="0.25">
      <c r="A36" s="74"/>
      <c r="B36" s="74"/>
      <c r="C36" s="74"/>
      <c r="D36" s="1188"/>
      <c r="E36" s="387">
        <v>4</v>
      </c>
      <c r="F36" s="74"/>
      <c r="G36" s="1188"/>
      <c r="H36" s="387" t="s">
        <v>341</v>
      </c>
      <c r="I36" s="74"/>
      <c r="J36" s="74"/>
      <c r="K36" s="397"/>
      <c r="L36" s="74"/>
      <c r="M36" s="74"/>
      <c r="N36" s="397"/>
      <c r="O36" s="74"/>
      <c r="P36" s="74"/>
      <c r="Q36" s="74"/>
    </row>
    <row r="37" spans="1:17" ht="14.55" x14ac:dyDescent="0.25">
      <c r="A37" s="74"/>
      <c r="B37" s="74"/>
      <c r="C37" s="74"/>
      <c r="D37" s="1188"/>
      <c r="E37" s="387">
        <v>5</v>
      </c>
      <c r="F37" s="74"/>
      <c r="G37" s="1188"/>
      <c r="H37" s="387" t="s">
        <v>342</v>
      </c>
      <c r="I37" s="74"/>
      <c r="J37" s="74"/>
      <c r="K37" s="397"/>
      <c r="L37" s="74"/>
      <c r="M37" s="74"/>
      <c r="N37" s="397"/>
      <c r="O37" s="74"/>
      <c r="P37" s="74"/>
      <c r="Q37" s="74"/>
    </row>
    <row r="38" spans="1:17" ht="15.2" thickBot="1" x14ac:dyDescent="0.35">
      <c r="B38" s="384"/>
      <c r="C38" s="384"/>
      <c r="D38" s="384"/>
      <c r="E38" s="384"/>
      <c r="F38" s="384"/>
      <c r="G38" s="1179" t="s">
        <v>343</v>
      </c>
      <c r="H38" s="1179"/>
      <c r="I38" s="1180" t="s">
        <v>344</v>
      </c>
      <c r="J38" s="1180"/>
      <c r="K38" s="1180" t="s">
        <v>345</v>
      </c>
      <c r="L38" s="1180"/>
      <c r="M38" s="384"/>
    </row>
    <row r="39" spans="1:17" ht="15.2" thickBot="1" x14ac:dyDescent="0.3">
      <c r="B39" s="1230" t="s">
        <v>346</v>
      </c>
      <c r="C39" s="1231"/>
      <c r="D39" s="1231"/>
      <c r="E39" s="1232"/>
      <c r="F39" s="74"/>
      <c r="G39" s="1225" t="e">
        <f>#REF!</f>
        <v>#REF!</v>
      </c>
      <c r="H39" s="1226"/>
      <c r="I39" s="1225" t="e">
        <f>#REF!</f>
        <v>#REF!</v>
      </c>
      <c r="J39" s="1226"/>
      <c r="K39" s="1225" t="e">
        <f>#REF!</f>
        <v>#REF!</v>
      </c>
      <c r="L39" s="1226"/>
      <c r="M39" s="524"/>
      <c r="N39" s="524"/>
    </row>
    <row r="40" spans="1:17" ht="14.55" x14ac:dyDescent="0.3">
      <c r="B40" s="74"/>
      <c r="C40" s="74"/>
      <c r="D40" s="74"/>
      <c r="E40" s="74"/>
      <c r="F40" s="74"/>
      <c r="G40" s="74"/>
      <c r="H40" s="74"/>
      <c r="I40" s="384"/>
      <c r="J40" s="384"/>
      <c r="K40" s="384"/>
      <c r="L40" s="384"/>
      <c r="M40" s="74"/>
      <c r="N40" s="74"/>
    </row>
    <row r="41" spans="1:17" ht="14.55" x14ac:dyDescent="0.3">
      <c r="B41" s="449"/>
      <c r="C41" s="74"/>
      <c r="D41" s="74"/>
      <c r="E41" s="74"/>
      <c r="F41" s="74"/>
      <c r="G41" s="74"/>
      <c r="H41" s="74"/>
      <c r="I41" s="384"/>
      <c r="J41" s="384"/>
      <c r="K41" s="384"/>
      <c r="L41" s="384"/>
      <c r="M41" s="74"/>
      <c r="N41" s="74"/>
    </row>
    <row r="42" spans="1:17" ht="14.55" x14ac:dyDescent="0.3">
      <c r="B42" s="74"/>
      <c r="C42" s="74"/>
      <c r="D42" s="74"/>
      <c r="E42" s="74"/>
      <c r="F42" s="74"/>
      <c r="G42" s="74"/>
      <c r="H42" s="74"/>
      <c r="I42" s="384"/>
      <c r="J42" s="384"/>
      <c r="K42" s="384"/>
      <c r="L42" s="384"/>
      <c r="M42" s="74"/>
      <c r="N42" s="74"/>
    </row>
    <row r="43" spans="1:17" ht="14.55" x14ac:dyDescent="0.3">
      <c r="B43" s="1242" t="s">
        <v>337</v>
      </c>
      <c r="C43" s="1243"/>
      <c r="D43" s="1243"/>
      <c r="E43" s="1244"/>
      <c r="F43" s="458"/>
      <c r="G43" s="1181" t="e">
        <f>#REF!</f>
        <v>#REF!</v>
      </c>
      <c r="H43" s="1182"/>
      <c r="I43" s="384"/>
      <c r="J43" s="384"/>
      <c r="K43" s="525"/>
      <c r="L43" s="384"/>
      <c r="M43" s="459"/>
      <c r="N43" s="459"/>
    </row>
    <row r="44" spans="1:17" ht="14.55" x14ac:dyDescent="0.3">
      <c r="B44" s="1242" t="s">
        <v>338</v>
      </c>
      <c r="C44" s="1243"/>
      <c r="D44" s="1243"/>
      <c r="E44" s="1244"/>
      <c r="F44" s="458"/>
      <c r="G44" s="1181" t="e">
        <f>#REF!</f>
        <v>#REF!</v>
      </c>
      <c r="H44" s="1182"/>
      <c r="I44" s="384"/>
      <c r="J44" s="384"/>
      <c r="K44" s="384"/>
      <c r="L44" s="384"/>
      <c r="M44" s="459"/>
      <c r="N44" s="459"/>
    </row>
    <row r="45" spans="1:17" ht="14.55" x14ac:dyDescent="0.3">
      <c r="B45" s="74"/>
      <c r="C45" s="74"/>
      <c r="D45" s="74"/>
      <c r="E45" s="74"/>
      <c r="F45" s="74"/>
      <c r="G45" s="74"/>
      <c r="H45" s="74"/>
      <c r="I45" s="384"/>
      <c r="J45" s="384"/>
      <c r="K45" s="384"/>
      <c r="L45" s="384"/>
      <c r="M45" s="384"/>
    </row>
    <row r="46" spans="1:17" ht="14.55" x14ac:dyDescent="0.3">
      <c r="B46" s="74"/>
      <c r="C46" s="74"/>
      <c r="D46" s="74"/>
      <c r="E46" s="74"/>
      <c r="F46" s="74"/>
      <c r="G46" s="74"/>
      <c r="H46" s="74"/>
      <c r="I46" s="384"/>
      <c r="J46" s="384"/>
      <c r="K46" s="384"/>
      <c r="L46" s="384"/>
      <c r="M46" s="384"/>
    </row>
    <row r="47" spans="1:17" ht="14.55" x14ac:dyDescent="0.3">
      <c r="B47" s="449" t="s">
        <v>347</v>
      </c>
      <c r="C47" s="74"/>
      <c r="D47" s="74"/>
      <c r="E47" s="74"/>
      <c r="F47" s="74"/>
      <c r="G47" s="74"/>
      <c r="H47" s="74"/>
      <c r="I47" s="384"/>
      <c r="J47" s="384"/>
      <c r="K47" s="384"/>
      <c r="L47" s="384"/>
      <c r="M47" s="384"/>
    </row>
    <row r="48" spans="1:17" ht="14.55" x14ac:dyDescent="0.3">
      <c r="B48" s="74"/>
      <c r="C48" s="74"/>
      <c r="D48" s="74"/>
      <c r="E48" s="74"/>
      <c r="F48" s="74"/>
      <c r="G48" s="1179" t="s">
        <v>343</v>
      </c>
      <c r="H48" s="1179"/>
      <c r="I48" s="1180" t="s">
        <v>344</v>
      </c>
      <c r="J48" s="1180"/>
      <c r="K48" s="1185" t="s">
        <v>345</v>
      </c>
      <c r="L48" s="1185"/>
      <c r="M48" s="1185"/>
    </row>
    <row r="49" spans="2:14" ht="14.55" x14ac:dyDescent="0.25">
      <c r="C49" s="449"/>
      <c r="D49" s="1222" t="s">
        <v>348</v>
      </c>
      <c r="E49" s="1171" t="s">
        <v>337</v>
      </c>
      <c r="F49" s="460"/>
      <c r="G49" s="526" t="s">
        <v>349</v>
      </c>
      <c r="H49" s="527" t="e">
        <f>IF($G$39&lt;$B$8,0,IF($G$39&gt;$B$27,0,VLOOKUP($G$39,$B$8:$B$27,1)))</f>
        <v>#REF!</v>
      </c>
      <c r="I49" s="526" t="s">
        <v>349</v>
      </c>
      <c r="J49" s="527" t="e">
        <f>IF($I$39&lt;$B$8,0,IF($I$39&gt;$B$27,0,VLOOKUP($I$39,$B$8:$B$27,1)))</f>
        <v>#REF!</v>
      </c>
      <c r="K49" s="526" t="s">
        <v>349</v>
      </c>
      <c r="L49" s="1175" t="e">
        <f>IF($K$39&lt;$B$8,0,IF($K$39&gt;$B$27,0,VLOOKUP(K39,B8:B27,1)))</f>
        <v>#REF!</v>
      </c>
      <c r="M49" s="1176"/>
      <c r="N49" s="460"/>
    </row>
    <row r="50" spans="2:14" ht="14.55" x14ac:dyDescent="0.25">
      <c r="B50" s="449"/>
      <c r="C50" s="449"/>
      <c r="D50" s="1223"/>
      <c r="E50" s="1172"/>
      <c r="F50" s="74"/>
      <c r="G50" s="463" t="s">
        <v>148</v>
      </c>
      <c r="H50" s="464" t="s">
        <v>342</v>
      </c>
      <c r="I50" s="463" t="s">
        <v>148</v>
      </c>
      <c r="J50" s="464" t="s">
        <v>342</v>
      </c>
      <c r="K50" s="463" t="s">
        <v>148</v>
      </c>
      <c r="L50" s="1177" t="s">
        <v>342</v>
      </c>
      <c r="M50" s="1178"/>
      <c r="N50" s="465"/>
    </row>
    <row r="51" spans="2:14" ht="14.55" x14ac:dyDescent="0.25">
      <c r="B51" s="449"/>
      <c r="C51" s="449"/>
      <c r="D51" s="1223"/>
      <c r="E51" s="561">
        <v>1</v>
      </c>
      <c r="F51" s="74"/>
      <c r="G51" s="462" t="e">
        <f>IF($G$39&lt;$B$8,0,IF($G$39&gt;$B$27,0,VLOOKUP($H$49,$B$8:$Q$27,3)))</f>
        <v>#REF!</v>
      </c>
      <c r="H51" s="462" t="e">
        <f>IF($G$39&lt;$B$8,0,IF($G$39&gt;$B$27,0,VLOOKUP(G51,$D$8:$E$27,2)))</f>
        <v>#REF!</v>
      </c>
      <c r="I51" s="462" t="e">
        <f>IF($I$39&lt;$B$8,0,IF($I$39&gt;$B$27,0,VLOOKUP($J$49,$B$8:$Q$27,6)))</f>
        <v>#REF!</v>
      </c>
      <c r="J51" s="462" t="e">
        <f>IF($I$39&lt;$B$8,0,IF($I$39&gt;$B$27,0,VLOOKUP(I51,$D$8:$E$27,2)))</f>
        <v>#REF!</v>
      </c>
      <c r="K51" s="462" t="e">
        <f>IF($K$39&lt;$B$8,0,IF($K$39&gt;$B$27,0,VLOOKUP($L$49,$B$8:$Q$27,3)))</f>
        <v>#REF!</v>
      </c>
      <c r="L51" s="1173" t="e">
        <f>IF($K$39&lt;$B$8,0,IF($K$39&gt;$B$27,0,VLOOKUP(K51,$D$8:$E$27,2)))</f>
        <v>#REF!</v>
      </c>
      <c r="M51" s="1174"/>
      <c r="N51" s="460"/>
    </row>
    <row r="52" spans="2:14" ht="14.55" x14ac:dyDescent="0.25">
      <c r="B52" s="449"/>
      <c r="C52" s="449"/>
      <c r="D52" s="1223"/>
      <c r="E52" s="561">
        <v>2</v>
      </c>
      <c r="F52" s="74"/>
      <c r="G52" s="462" t="e">
        <f>IF($G$39&lt;$B$8,0,IF($G$39&gt;$B$27,0,VLOOKUP($H$49,$B$8:$Q$27,6)))</f>
        <v>#REF!</v>
      </c>
      <c r="H52" s="462" t="e">
        <f>IF($G$39&lt;$B$8,0,IF($G$39&gt;$B$27,0,VLOOKUP(G52,$G$8:$H$27,2)))</f>
        <v>#REF!</v>
      </c>
      <c r="I52" s="462" t="e">
        <f>IF($I$39&lt;$B$8,0,IF($I$39&gt;$B$27,0,VLOOKUP($J$49,$B$8:$Q$27,6)))</f>
        <v>#REF!</v>
      </c>
      <c r="J52" s="462" t="e">
        <f>IF($I$39&lt;$B$8,0,IF($I$39&gt;$B$27,0,VLOOKUP(I52,$G$8:$H$27,2)))</f>
        <v>#REF!</v>
      </c>
      <c r="K52" s="462" t="e">
        <f>IF($K$39&lt;$B$8,0,IF($K$39&gt;$B$27,0,VLOOKUP($L$49,$B$8:$Q$27,6)))</f>
        <v>#REF!</v>
      </c>
      <c r="L52" s="1173" t="e">
        <f>IF($K$39&lt;$B$8,0,IF($K$39&gt;$B$27,0,VLOOKUP(K52,$G$8:$H$27,2)))</f>
        <v>#REF!</v>
      </c>
      <c r="M52" s="1174"/>
      <c r="N52" s="460"/>
    </row>
    <row r="53" spans="2:14" ht="14.55" x14ac:dyDescent="0.25">
      <c r="B53" s="449"/>
      <c r="C53" s="449"/>
      <c r="D53" s="1223"/>
      <c r="E53" s="561">
        <v>3</v>
      </c>
      <c r="F53" s="74"/>
      <c r="G53" s="462" t="e">
        <f>IF($G$39&lt;$B$8,0,IF($G$39&gt;$B$27,0,VLOOKUP($H$49,$B$8:$Q$27,9)))</f>
        <v>#REF!</v>
      </c>
      <c r="H53" s="462" t="e">
        <f>IF($G$39&lt;$B$8,0,IF($G$39&gt;$B$27,0,VLOOKUP(G53,$J$8:$K$27,2)))</f>
        <v>#REF!</v>
      </c>
      <c r="I53" s="462" t="e">
        <f>IF($I$39&lt;$B$8,0,IF($I$39&gt;$B$27,0,VLOOKUP($J$49,$B$8:$Q$27,9)))</f>
        <v>#REF!</v>
      </c>
      <c r="J53" s="462" t="e">
        <f>IF($I$39&lt;$B$8,0,IF($I$39&gt;$B$27,0,VLOOKUP(I53,$J$8:$K$27,2)))</f>
        <v>#REF!</v>
      </c>
      <c r="K53" s="462" t="e">
        <f>IF($K$39&lt;$B$8,0,IF($K$39&gt;$B$27,0,VLOOKUP($L$49,$B$8:$Q$27,9)))</f>
        <v>#REF!</v>
      </c>
      <c r="L53" s="1173" t="e">
        <f>IF($K$39&lt;$B$8,0,IF($K$39&gt;$B$27,0,VLOOKUP(K53,$J$8:$K$27,2)))</f>
        <v>#REF!</v>
      </c>
      <c r="M53" s="1174"/>
      <c r="N53" s="460"/>
    </row>
    <row r="54" spans="2:14" ht="14.55" x14ac:dyDescent="0.25">
      <c r="B54" s="449"/>
      <c r="C54" s="449"/>
      <c r="D54" s="1223"/>
      <c r="E54" s="561">
        <v>4</v>
      </c>
      <c r="F54" s="74"/>
      <c r="G54" s="462" t="e">
        <f>IF($G$39&lt;$B$8,0,IF($G$39&gt;$B$27,0,VLOOKUP($H$49,$B$8:$Q$27,12)))</f>
        <v>#REF!</v>
      </c>
      <c r="H54" s="462" t="e">
        <f>IF($G$39&lt;$B$8,0,IF($G$39&gt;$B$27,0,VLOOKUP(G54,$M$8:$N$27,2)))</f>
        <v>#REF!</v>
      </c>
      <c r="I54" s="462" t="e">
        <f>IF($I$39&lt;$B$8,0,IF($I$39&gt;$B$27,0,VLOOKUP($J$49,$B$8:$Q$27,12)))</f>
        <v>#REF!</v>
      </c>
      <c r="J54" s="462" t="e">
        <f>IF($I$39&lt;$B$8,0,IF($I$39&gt;$B$27,0,VLOOKUP(I54,$M$8:$N$27,2)))</f>
        <v>#REF!</v>
      </c>
      <c r="K54" s="462" t="e">
        <f>IF($K$39&lt;$B$8,0,IF($K$39&gt;$B$27,0,VLOOKUP($L$49,$B$8:$Q$27,12)))</f>
        <v>#REF!</v>
      </c>
      <c r="L54" s="1173" t="e">
        <f>IF($K$39&lt;$B$8,0,IF($K$39&gt;$B$27,0,VLOOKUP(K54,$M$8:$N$27,2)))</f>
        <v>#REF!</v>
      </c>
      <c r="M54" s="1174"/>
      <c r="N54" s="460"/>
    </row>
    <row r="55" spans="2:14" ht="14.55" x14ac:dyDescent="0.25">
      <c r="B55" s="449"/>
      <c r="C55" s="449"/>
      <c r="D55" s="1224"/>
      <c r="E55" s="561">
        <v>5</v>
      </c>
      <c r="F55" s="74"/>
      <c r="G55" s="462" t="e">
        <f>IF($G$39&lt;$B$8,0,IF($G$39&gt;$B$27,0,VLOOKUP($H$49,$B$8:$Q$27,15)))</f>
        <v>#REF!</v>
      </c>
      <c r="H55" s="462" t="e">
        <f>IF($G$39&lt;$B$8,0,IF($G$39&gt;$B$27,0,VLOOKUP(G55,$P$8:$Q$27,2)))</f>
        <v>#REF!</v>
      </c>
      <c r="I55" s="462" t="e">
        <f>IF($I$39&lt;$B$8,0,IF($I$39&gt;$B$27,0,VLOOKUP($J$49,$B$8:$Q$27,15)))</f>
        <v>#REF!</v>
      </c>
      <c r="J55" s="462" t="e">
        <f>IF($I$39&lt;$B$8,0,IF($I$39&gt;$B$27,0,VLOOKUP(I55,$P$8:$Q$27,2)))</f>
        <v>#REF!</v>
      </c>
      <c r="K55" s="462" t="e">
        <f>IF($K$39&lt;$B$8,0,IF($K$39&gt;$B$27,0,VLOOKUP($L$49,$B$8:$Q$27,15)))</f>
        <v>#REF!</v>
      </c>
      <c r="L55" s="1173" t="e">
        <f>IF($K$39&lt;$B$8,0,IF($K$39&gt;$B$27,0,VLOOKUP(K55,$P$8:$Q$27,2)))</f>
        <v>#REF!</v>
      </c>
      <c r="M55" s="1174"/>
      <c r="N55" s="460"/>
    </row>
    <row r="56" spans="2:14" ht="14.55" x14ac:dyDescent="0.25">
      <c r="B56" s="396"/>
      <c r="C56" s="396"/>
      <c r="D56" s="396"/>
      <c r="E56" s="74"/>
      <c r="F56" s="74"/>
      <c r="G56" s="528"/>
      <c r="H56" s="465"/>
    </row>
    <row r="57" spans="2:14" ht="14.55" x14ac:dyDescent="0.25">
      <c r="C57" s="449"/>
      <c r="D57" s="1222" t="s">
        <v>350</v>
      </c>
      <c r="E57" s="1171" t="s">
        <v>337</v>
      </c>
      <c r="F57" s="74"/>
      <c r="G57" s="461" t="s">
        <v>349</v>
      </c>
      <c r="H57" s="462" t="e" cm="1">
        <f t="array" ref="H57">IF($G$39&lt;$B$8,0,IF(G39&gt;B27,0,INDEX(B8:B27,MATCH(G39,B8:B27,1)+1,1)))</f>
        <v>#REF!</v>
      </c>
      <c r="I57" s="461" t="s">
        <v>349</v>
      </c>
      <c r="J57" s="462" t="e">
        <f>IF(I39&lt;25000,0,IF(I39&gt;25000000,0,INDEX(B8:B27,MATCH(I39,B8:B27,1)+1,1)))</f>
        <v>#REF!</v>
      </c>
      <c r="K57" s="461" t="s">
        <v>349</v>
      </c>
      <c r="L57" s="1175" t="e" cm="1">
        <f t="array" ref="L57">IF($K$39&lt;$B$8,0,IF($K$39&gt;$B$27,0,INDEX(B8:B27,MATCH(K39,B8:B27,1)+1,1)))</f>
        <v>#REF!</v>
      </c>
      <c r="M57" s="1176"/>
      <c r="N57" s="460"/>
    </row>
    <row r="58" spans="2:14" ht="14.55" x14ac:dyDescent="0.25">
      <c r="B58" s="449"/>
      <c r="C58" s="449"/>
      <c r="D58" s="1223"/>
      <c r="E58" s="1172"/>
      <c r="F58" s="74"/>
      <c r="G58" s="463" t="s">
        <v>148</v>
      </c>
      <c r="H58" s="464" t="s">
        <v>342</v>
      </c>
      <c r="I58" s="463" t="s">
        <v>148</v>
      </c>
      <c r="J58" s="464" t="s">
        <v>342</v>
      </c>
      <c r="K58" s="463" t="s">
        <v>148</v>
      </c>
      <c r="L58" s="1177" t="s">
        <v>342</v>
      </c>
      <c r="M58" s="1178"/>
      <c r="N58" s="465"/>
    </row>
    <row r="59" spans="2:14" ht="14.55" x14ac:dyDescent="0.25">
      <c r="B59" s="449"/>
      <c r="C59" s="449"/>
      <c r="D59" s="1223"/>
      <c r="E59" s="561">
        <v>1</v>
      </c>
      <c r="F59" s="74"/>
      <c r="G59" s="462" t="e">
        <f>IF($G$39&lt;$B$8,0,IF($G$39&gt;$B$27,0,VLOOKUP($H$57,$B$8:$Q$27,3)))</f>
        <v>#REF!</v>
      </c>
      <c r="H59" s="462" t="e">
        <f>IF($G$39&lt;$B$8,0,IF($G$39&gt;$B$27,0,VLOOKUP(G59,$D$8:$E$27,2)))</f>
        <v>#REF!</v>
      </c>
      <c r="I59" s="462" t="e">
        <f>IF($I$39&lt;$B$8,0,IF($I$39&gt;$B$27,0,VLOOKUP($J$57,$B$8:$Q$27,3)))</f>
        <v>#REF!</v>
      </c>
      <c r="J59" s="462" t="e">
        <f>IF($I$39&lt;$B$8,0,IF($I$39&gt;$B$27,0,VLOOKUP(I59,$D$8:$E$27,2)))</f>
        <v>#REF!</v>
      </c>
      <c r="K59" s="462" t="e">
        <f>IF($K$39&lt;$B$8,0,IF($K$39&gt;$B$27,0,VLOOKUP($L$57,$B$8:$Q$27,3)))</f>
        <v>#REF!</v>
      </c>
      <c r="L59" s="1173" t="e">
        <f>IF($K$39&lt;$B$8,0,IF($K$39&gt;$B$27,0,VLOOKUP(K59,$D$8:$E$27,2)))</f>
        <v>#REF!</v>
      </c>
      <c r="M59" s="1174"/>
      <c r="N59" s="460"/>
    </row>
    <row r="60" spans="2:14" ht="14.55" x14ac:dyDescent="0.25">
      <c r="B60" s="449"/>
      <c r="C60" s="449"/>
      <c r="D60" s="1223"/>
      <c r="E60" s="561">
        <v>2</v>
      </c>
      <c r="F60" s="74"/>
      <c r="G60" s="462" t="e">
        <f>IF($G$39&lt;$B$8,0,IF($G$39&gt;$B$27,0,VLOOKUP($H$57,$B$8:$Q$27,6)))</f>
        <v>#REF!</v>
      </c>
      <c r="H60" s="462" t="e">
        <f>IF($G$39&lt;$B$8,0,IF($G$39&gt;$B$27,0,VLOOKUP(G60,$G$8:$H$27,2)))</f>
        <v>#REF!</v>
      </c>
      <c r="I60" s="462" t="e">
        <f>IF($I$39&lt;$B$8,0,IF($I$39&gt;$B$27,0,VLOOKUP($J$57,$B$8:$Q$27,6)))</f>
        <v>#REF!</v>
      </c>
      <c r="J60" s="462" t="e">
        <f>IF($I$39&lt;$B$8,0,IF($I$39&gt;$B$27,0,VLOOKUP(I60,$G$8:$H$27,2)))</f>
        <v>#REF!</v>
      </c>
      <c r="K60" s="462" t="e">
        <f>IF($K$39&lt;$B$8,0,IF($K$39&gt;$B$27,0,VLOOKUP($L$57,$B$8:$Q$27,6)))</f>
        <v>#REF!</v>
      </c>
      <c r="L60" s="1173" t="e">
        <f>IF($K$39&lt;$B$8,0,IF($K$39&gt;$B$27,0,VLOOKUP(K60,$G$8:$H$27,2)))</f>
        <v>#REF!</v>
      </c>
      <c r="M60" s="1174"/>
      <c r="N60" s="460"/>
    </row>
    <row r="61" spans="2:14" ht="14.55" x14ac:dyDescent="0.25">
      <c r="B61" s="449"/>
      <c r="C61" s="449"/>
      <c r="D61" s="1223"/>
      <c r="E61" s="561">
        <v>3</v>
      </c>
      <c r="F61" s="74"/>
      <c r="G61" s="462" t="e">
        <f>IF($G$39&lt;$B$8,0,IF($G$39&gt;$B$27,0,VLOOKUP($H$57,$B$8:$Q$27,9)))</f>
        <v>#REF!</v>
      </c>
      <c r="H61" s="462" t="e">
        <f>IF($G$39&lt;$B$8,0,IF($G$39&gt;$B$27,0,VLOOKUP(G61,$J$8:$K$27,2)))</f>
        <v>#REF!</v>
      </c>
      <c r="I61" s="462" t="e">
        <f>IF($I$39&lt;$B$8,0,IF($I$39&gt;$B$27,0,VLOOKUP($J$57,$B$8:$Q$27,9)))</f>
        <v>#REF!</v>
      </c>
      <c r="J61" s="462" t="e">
        <f>IF($I$39&lt;$B$8,0,IF($I$39&gt;$B$27,0,VLOOKUP(I61,$J$8:$K$27,2)))</f>
        <v>#REF!</v>
      </c>
      <c r="K61" s="462" t="e">
        <f>IF($K$39&lt;$B$8,0,IF($K$39&gt;$B$27,0,VLOOKUP($L$57,$B$8:$Q$27,9)))</f>
        <v>#REF!</v>
      </c>
      <c r="L61" s="1173" t="e">
        <f>IF($K$39&lt;$B$8,0,IF($K$39&gt;$B$27,0,VLOOKUP(K61,$J$8:$K$27,2)))</f>
        <v>#REF!</v>
      </c>
      <c r="M61" s="1174"/>
      <c r="N61" s="460"/>
    </row>
    <row r="62" spans="2:14" ht="14.55" x14ac:dyDescent="0.25">
      <c r="B62" s="449"/>
      <c r="C62" s="449"/>
      <c r="D62" s="1223"/>
      <c r="E62" s="561">
        <v>4</v>
      </c>
      <c r="F62" s="74"/>
      <c r="G62" s="462" t="e">
        <f>IF($G$39&lt;$B$8,0,IF($G$39&gt;$B$27,0,VLOOKUP($H$57,$B$8:$Q$27,12)))</f>
        <v>#REF!</v>
      </c>
      <c r="H62" s="462" t="e">
        <f>IF($G$39&lt;$B$8,0,IF($G$39&gt;$B$27,0,VLOOKUP(G62,$M$8:$N$27,2)))</f>
        <v>#REF!</v>
      </c>
      <c r="I62" s="462" t="e">
        <f>IF($I$39&lt;$B$8,0,IF($I$39&gt;$B$27,0,VLOOKUP($J$57,$B$8:$Q$27,12)))</f>
        <v>#REF!</v>
      </c>
      <c r="J62" s="462" t="e">
        <f>IF($I$39&lt;$B$8,0,IF($I$39&gt;$B$27,0,VLOOKUP(I62,$M$8:$N$27,2)))</f>
        <v>#REF!</v>
      </c>
      <c r="K62" s="462" t="e">
        <f>IF($K$39&lt;$B$8,0,IF($K$39&gt;$B$27,0,VLOOKUP($L$57,$B$8:$Q$27,12)))</f>
        <v>#REF!</v>
      </c>
      <c r="L62" s="1173" t="e">
        <f>IF($K$39&lt;$B$8,0,IF($K$39&gt;$B$27,0,VLOOKUP(K62,$M$8:$N$27,2)))</f>
        <v>#REF!</v>
      </c>
      <c r="M62" s="1174"/>
      <c r="N62" s="460"/>
    </row>
    <row r="63" spans="2:14" ht="14.55" x14ac:dyDescent="0.25">
      <c r="B63" s="449"/>
      <c r="C63" s="449"/>
      <c r="D63" s="1224"/>
      <c r="E63" s="561">
        <v>5</v>
      </c>
      <c r="F63" s="74"/>
      <c r="G63" s="462" t="e">
        <f>IF($G$39&lt;$B$8,0,IF($G$39&gt;$B$27,0,VLOOKUP($H$57,$B$8:$Q$27,15)))</f>
        <v>#REF!</v>
      </c>
      <c r="H63" s="462" t="e">
        <f>IF($G$39&lt;$B$8,0,IF($G$39&gt;$B$27,0,VLOOKUP(G63,$P$8:$Q$27,2)))</f>
        <v>#REF!</v>
      </c>
      <c r="I63" s="462" t="e">
        <f>IF($I$39&lt;$B$8,0,IF($I$39&gt;$B$27,0,VLOOKUP($J$57,$B$8:$Q$27,15)))</f>
        <v>#REF!</v>
      </c>
      <c r="J63" s="462" t="e">
        <f>IF($I$39&lt;$B$8,0,IF($I$39&gt;$B$27,0,VLOOKUP(I63,$P$8:$Q$27,2)))</f>
        <v>#REF!</v>
      </c>
      <c r="K63" s="462" t="e">
        <f>IF($K$39&lt;$B$8,0,IF($K$39&gt;$B$27,0,VLOOKUP($L$57,$B$8:$Q$27,15)))</f>
        <v>#REF!</v>
      </c>
      <c r="L63" s="1173" t="e">
        <f>IF($K$39&lt;$B$8,0,IF($K$39&gt;$B$27,0,VLOOKUP(K63,$P$8:$Q$27,2)))</f>
        <v>#REF!</v>
      </c>
      <c r="M63" s="1174"/>
      <c r="N63" s="460"/>
    </row>
    <row r="65" spans="2:14" x14ac:dyDescent="0.25">
      <c r="B65" s="383" t="s">
        <v>351</v>
      </c>
    </row>
    <row r="67" spans="2:14" ht="14.55" x14ac:dyDescent="0.25">
      <c r="B67" s="396"/>
      <c r="C67" s="396"/>
      <c r="D67" s="396"/>
      <c r="E67" s="74"/>
      <c r="F67" s="74"/>
      <c r="G67" s="463" t="s">
        <v>148</v>
      </c>
      <c r="H67" s="464" t="s">
        <v>342</v>
      </c>
      <c r="I67" s="463" t="s">
        <v>148</v>
      </c>
      <c r="J67" s="464" t="s">
        <v>342</v>
      </c>
      <c r="K67" s="463" t="s">
        <v>148</v>
      </c>
      <c r="L67" s="1188" t="s">
        <v>342</v>
      </c>
      <c r="M67" s="1188"/>
      <c r="N67" s="465"/>
    </row>
    <row r="68" spans="2:14" ht="14.55" x14ac:dyDescent="0.25">
      <c r="B68" s="1238" t="s">
        <v>348</v>
      </c>
      <c r="C68" s="1238"/>
      <c r="D68" s="1238"/>
      <c r="E68" s="1238"/>
      <c r="F68" s="74"/>
      <c r="G68" s="468" t="e">
        <f>VLOOKUP($G$43,$E$51:$H$55,3)</f>
        <v>#REF!</v>
      </c>
      <c r="H68" s="468" t="e">
        <f>VLOOKUP(G43,$E$51:$H$55,4)</f>
        <v>#REF!</v>
      </c>
      <c r="I68" s="468" t="e">
        <f>VLOOKUP($G$43,$E$51:$J$55,5)</f>
        <v>#REF!</v>
      </c>
      <c r="J68" s="468" t="e">
        <f>VLOOKUP(G43,$E$51:$J$55,6)</f>
        <v>#REF!</v>
      </c>
      <c r="K68" s="468" t="e">
        <f>VLOOKUP($G$43,$E$51:$K$55,7)</f>
        <v>#REF!</v>
      </c>
      <c r="L68" s="1164" t="e">
        <f>VLOOKUP(G43,$E$51:$M$55,8)</f>
        <v>#REF!</v>
      </c>
      <c r="M68" s="1164"/>
      <c r="N68" s="469"/>
    </row>
    <row r="69" spans="2:14" ht="14.55" x14ac:dyDescent="0.25">
      <c r="B69" s="1238" t="s">
        <v>350</v>
      </c>
      <c r="C69" s="1238"/>
      <c r="D69" s="1238"/>
      <c r="E69" s="1238"/>
      <c r="F69" s="74"/>
      <c r="G69" s="468" t="e">
        <f>VLOOKUP($G$43,$E$59:$H$63,3)</f>
        <v>#REF!</v>
      </c>
      <c r="H69" s="468" t="e">
        <f>VLOOKUP(G43,$E$59:$H$63,4)</f>
        <v>#REF!</v>
      </c>
      <c r="I69" s="468" t="e">
        <f>VLOOKUP($G$43,$E$59:$J$63,5)</f>
        <v>#REF!</v>
      </c>
      <c r="J69" s="468" t="e">
        <f>VLOOKUP(G43,$E$59:$K$63,6)</f>
        <v>#REF!</v>
      </c>
      <c r="K69" s="468" t="e">
        <f>VLOOKUP($G$43,$E$59:$K$63,7)</f>
        <v>#REF!</v>
      </c>
      <c r="L69" s="1164" t="e">
        <f>VLOOKUP(G43,$E$59:$M$63,8)</f>
        <v>#REF!</v>
      </c>
      <c r="M69" s="1164"/>
      <c r="N69" s="469"/>
    </row>
    <row r="70" spans="2:14" ht="14.55" x14ac:dyDescent="0.25">
      <c r="B70" s="1245" t="s">
        <v>352</v>
      </c>
      <c r="C70" s="1246"/>
      <c r="D70" s="1246"/>
      <c r="E70" s="1247"/>
      <c r="F70" s="74"/>
      <c r="G70" s="529" t="e">
        <f t="shared" ref="G70:L70" si="4">G69-G68</f>
        <v>#REF!</v>
      </c>
      <c r="H70" s="529" t="e">
        <f t="shared" si="4"/>
        <v>#REF!</v>
      </c>
      <c r="I70" s="529" t="e">
        <f t="shared" si="4"/>
        <v>#REF!</v>
      </c>
      <c r="J70" s="529" t="e">
        <f t="shared" si="4"/>
        <v>#REF!</v>
      </c>
      <c r="K70" s="529" t="e">
        <f t="shared" si="4"/>
        <v>#REF!</v>
      </c>
      <c r="L70" s="1189" t="e">
        <f t="shared" si="4"/>
        <v>#REF!</v>
      </c>
      <c r="M70" s="1189"/>
      <c r="N70" s="530"/>
    </row>
    <row r="71" spans="2:14" ht="14.55" x14ac:dyDescent="0.25">
      <c r="B71" s="1238" t="s">
        <v>353</v>
      </c>
      <c r="C71" s="1238"/>
      <c r="D71" s="1238"/>
      <c r="E71" s="1238"/>
      <c r="F71" s="74"/>
      <c r="G71" s="529" t="e">
        <f>G39-H49</f>
        <v>#REF!</v>
      </c>
      <c r="H71" s="472" t="e">
        <f>G43</f>
        <v>#REF!</v>
      </c>
      <c r="I71" s="529" t="e">
        <f>I39-J49</f>
        <v>#REF!</v>
      </c>
      <c r="J71" s="472" t="e">
        <f>G43</f>
        <v>#REF!</v>
      </c>
      <c r="K71" s="529" t="e">
        <f>K39-L49</f>
        <v>#REF!</v>
      </c>
      <c r="L71" s="1190" t="e">
        <f>G43</f>
        <v>#REF!</v>
      </c>
      <c r="M71" s="1190"/>
      <c r="N71" s="531"/>
    </row>
    <row r="74" spans="2:14" x14ac:dyDescent="0.25">
      <c r="B74" s="383" t="s">
        <v>354</v>
      </c>
    </row>
    <row r="76" spans="2:14" ht="14.55" x14ac:dyDescent="0.25">
      <c r="B76" s="74"/>
      <c r="C76" s="74"/>
      <c r="D76" s="465"/>
      <c r="E76" s="74"/>
      <c r="F76" s="465"/>
      <c r="G76" s="463" t="s">
        <v>148</v>
      </c>
      <c r="H76" s="464" t="s">
        <v>342</v>
      </c>
      <c r="I76" s="463" t="s">
        <v>148</v>
      </c>
      <c r="J76" s="464" t="s">
        <v>342</v>
      </c>
      <c r="K76" s="463" t="s">
        <v>148</v>
      </c>
      <c r="L76" s="1188" t="s">
        <v>342</v>
      </c>
      <c r="M76" s="1188"/>
      <c r="N76" s="465"/>
    </row>
    <row r="77" spans="2:14" ht="14.55" x14ac:dyDescent="0.25">
      <c r="B77" s="1238" t="s">
        <v>355</v>
      </c>
      <c r="C77" s="1238"/>
      <c r="D77" s="1238"/>
      <c r="E77" s="1238"/>
      <c r="F77" s="473"/>
      <c r="G77" s="468" t="e">
        <f t="shared" ref="G77:L77" si="5">G68</f>
        <v>#REF!</v>
      </c>
      <c r="H77" s="468" t="e">
        <f t="shared" si="5"/>
        <v>#REF!</v>
      </c>
      <c r="I77" s="468" t="e">
        <f t="shared" si="5"/>
        <v>#REF!</v>
      </c>
      <c r="J77" s="468" t="e">
        <f t="shared" si="5"/>
        <v>#REF!</v>
      </c>
      <c r="K77" s="468" t="e">
        <f t="shared" si="5"/>
        <v>#REF!</v>
      </c>
      <c r="L77" s="1164" t="e">
        <f t="shared" si="5"/>
        <v>#REF!</v>
      </c>
      <c r="M77" s="1164"/>
      <c r="N77" s="469"/>
    </row>
    <row r="78" spans="2:14" ht="14.55" x14ac:dyDescent="0.25">
      <c r="B78" s="1238" t="s">
        <v>356</v>
      </c>
      <c r="C78" s="1238"/>
      <c r="D78" s="1238"/>
      <c r="E78" s="1238"/>
      <c r="F78" s="473"/>
      <c r="G78" s="468" t="e">
        <f>G71</f>
        <v>#REF!</v>
      </c>
      <c r="H78" s="468" t="e">
        <f>G71</f>
        <v>#REF!</v>
      </c>
      <c r="I78" s="468" t="e">
        <f>I71</f>
        <v>#REF!</v>
      </c>
      <c r="J78" s="468" t="e">
        <f>I71</f>
        <v>#REF!</v>
      </c>
      <c r="K78" s="468" t="e">
        <f>K71</f>
        <v>#REF!</v>
      </c>
      <c r="L78" s="1164" t="e">
        <f>K71</f>
        <v>#REF!</v>
      </c>
      <c r="M78" s="1164"/>
      <c r="N78" s="469"/>
    </row>
    <row r="79" spans="2:14" ht="14.55" x14ac:dyDescent="0.25">
      <c r="B79" s="1238" t="s">
        <v>357</v>
      </c>
      <c r="C79" s="1238"/>
      <c r="D79" s="1238"/>
      <c r="E79" s="1238"/>
      <c r="F79" s="473"/>
      <c r="G79" s="468" t="e">
        <f t="shared" ref="G79:L79" si="6">G70</f>
        <v>#REF!</v>
      </c>
      <c r="H79" s="468" t="e">
        <f t="shared" si="6"/>
        <v>#REF!</v>
      </c>
      <c r="I79" s="468" t="e">
        <f t="shared" si="6"/>
        <v>#REF!</v>
      </c>
      <c r="J79" s="468" t="e">
        <f t="shared" si="6"/>
        <v>#REF!</v>
      </c>
      <c r="K79" s="468" t="e">
        <f t="shared" si="6"/>
        <v>#REF!</v>
      </c>
      <c r="L79" s="1164" t="e">
        <f t="shared" si="6"/>
        <v>#REF!</v>
      </c>
      <c r="M79" s="1164"/>
      <c r="N79" s="469"/>
    </row>
    <row r="80" spans="2:14" ht="14.55" x14ac:dyDescent="0.25">
      <c r="B80" s="1238" t="s">
        <v>358</v>
      </c>
      <c r="C80" s="1238"/>
      <c r="D80" s="1238"/>
      <c r="E80" s="1238"/>
      <c r="F80" s="473"/>
      <c r="G80" s="468" t="e">
        <f>H57-H49</f>
        <v>#REF!</v>
      </c>
      <c r="H80" s="468" t="e">
        <f>H57-H49</f>
        <v>#REF!</v>
      </c>
      <c r="I80" s="468" t="e">
        <f>J57-J49</f>
        <v>#REF!</v>
      </c>
      <c r="J80" s="468" t="e">
        <f>J57-J49</f>
        <v>#REF!</v>
      </c>
      <c r="K80" s="468" t="e">
        <f>L57-L49</f>
        <v>#REF!</v>
      </c>
      <c r="L80" s="1164" t="e">
        <f>L57-L49</f>
        <v>#REF!</v>
      </c>
      <c r="M80" s="1164"/>
      <c r="N80" s="469"/>
    </row>
    <row r="81" spans="2:22" ht="15.2" thickBot="1" x14ac:dyDescent="0.3">
      <c r="B81" s="74"/>
      <c r="C81" s="74"/>
      <c r="D81" s="74"/>
      <c r="E81" s="460"/>
      <c r="F81" s="460"/>
      <c r="G81" s="474"/>
      <c r="H81" s="74"/>
    </row>
    <row r="82" spans="2:22" ht="14.55" x14ac:dyDescent="0.25">
      <c r="B82" s="392"/>
      <c r="C82" s="1188"/>
      <c r="D82" s="387" t="s">
        <v>148</v>
      </c>
      <c r="E82" s="393"/>
      <c r="F82" s="469"/>
      <c r="G82" s="74"/>
      <c r="H82" s="476" t="e">
        <f>IF(G80=0,0,G77+((G78*G79)/G80))</f>
        <v>#REF!</v>
      </c>
      <c r="J82" s="476" t="e">
        <f>IF(I80=0,0,I77+((I78*I79)/I80))</f>
        <v>#REF!</v>
      </c>
      <c r="L82" s="1165" t="e">
        <f>IF(K80=0,0,K77+((K78*K79)/K80))</f>
        <v>#REF!</v>
      </c>
      <c r="M82" s="1166"/>
      <c r="N82" s="469"/>
    </row>
    <row r="83" spans="2:22" ht="14.55" x14ac:dyDescent="0.25">
      <c r="B83" s="394" t="s">
        <v>359</v>
      </c>
      <c r="C83" s="1188"/>
      <c r="D83" s="387" t="s">
        <v>339</v>
      </c>
      <c r="E83" s="393"/>
      <c r="F83" s="469"/>
      <c r="G83" s="74"/>
      <c r="H83" s="477" t="e">
        <f>((H86-H82)*0.25)+H82</f>
        <v>#REF!</v>
      </c>
      <c r="J83" s="477" t="e">
        <f>((J86-J82)*0.25)+J82</f>
        <v>#REF!</v>
      </c>
      <c r="L83" s="1167" t="e">
        <f>((L86-L82)*0.25)+L82</f>
        <v>#REF!</v>
      </c>
      <c r="M83" s="1168"/>
      <c r="N83" s="469"/>
    </row>
    <row r="84" spans="2:22" ht="14.55" x14ac:dyDescent="0.25">
      <c r="B84" s="394"/>
      <c r="C84" s="1188"/>
      <c r="D84" s="387" t="s">
        <v>340</v>
      </c>
      <c r="E84" s="393"/>
      <c r="F84" s="469"/>
      <c r="G84" s="74"/>
      <c r="H84" s="477" t="e">
        <f>(H86+H82)/2</f>
        <v>#REF!</v>
      </c>
      <c r="J84" s="477" t="e">
        <f>(J86+J82)/2</f>
        <v>#REF!</v>
      </c>
      <c r="L84" s="1167" t="e">
        <f>(L86+L82)/2</f>
        <v>#REF!</v>
      </c>
      <c r="M84" s="1168"/>
      <c r="N84" s="469"/>
    </row>
    <row r="85" spans="2:22" ht="14.55" x14ac:dyDescent="0.25">
      <c r="B85" s="394" t="s">
        <v>360</v>
      </c>
      <c r="C85" s="1188"/>
      <c r="D85" s="387" t="s">
        <v>341</v>
      </c>
      <c r="E85" s="393"/>
      <c r="F85" s="469"/>
      <c r="G85" s="74"/>
      <c r="H85" s="477" t="e">
        <f>((H86-H82)*0.75)+H82</f>
        <v>#REF!</v>
      </c>
      <c r="J85" s="477" t="e">
        <f>((J86-J82)*0.75)+J82</f>
        <v>#REF!</v>
      </c>
      <c r="L85" s="1167" t="e">
        <f>((L86-L82)*0.75)+L82</f>
        <v>#REF!</v>
      </c>
      <c r="M85" s="1168"/>
      <c r="N85" s="469"/>
    </row>
    <row r="86" spans="2:22" ht="15.2" thickBot="1" x14ac:dyDescent="0.3">
      <c r="B86" s="395"/>
      <c r="C86" s="1188"/>
      <c r="D86" s="387" t="s">
        <v>342</v>
      </c>
      <c r="E86" s="393"/>
      <c r="F86" s="469"/>
      <c r="G86" s="74"/>
      <c r="H86" s="478" t="e">
        <f>IF(H80=0,0,H77+((H78*H79)/H80))</f>
        <v>#REF!</v>
      </c>
      <c r="J86" s="478" t="e">
        <f>IF(J80=0,0,J77+((J78*J79)/J80))</f>
        <v>#REF!</v>
      </c>
      <c r="L86" s="1169" t="e">
        <f>IF(L80=0,0,L77+((L78*L79)/L80))</f>
        <v>#REF!</v>
      </c>
      <c r="M86" s="1170"/>
      <c r="N86" s="469"/>
    </row>
    <row r="88" spans="2:22" ht="15.2" thickBot="1" x14ac:dyDescent="0.35">
      <c r="B88" s="74"/>
      <c r="C88" s="74"/>
      <c r="D88" s="74"/>
      <c r="E88" s="74"/>
      <c r="F88" s="74"/>
      <c r="G88" s="1179" t="s">
        <v>343</v>
      </c>
      <c r="H88" s="1179"/>
      <c r="I88" s="1180" t="s">
        <v>344</v>
      </c>
      <c r="J88" s="1180"/>
      <c r="K88" s="1185" t="s">
        <v>345</v>
      </c>
      <c r="L88" s="1185"/>
      <c r="M88" s="1185"/>
      <c r="N88" s="449"/>
    </row>
    <row r="89" spans="2:22" ht="15.2" thickBot="1" x14ac:dyDescent="0.3">
      <c r="B89" s="1227" t="s">
        <v>361</v>
      </c>
      <c r="C89" s="1228"/>
      <c r="D89" s="1228"/>
      <c r="E89" s="1229"/>
      <c r="F89" s="74"/>
      <c r="G89" s="479" t="e">
        <f>G43</f>
        <v>#REF!</v>
      </c>
      <c r="H89" s="480" t="e">
        <f>IF($G$44="Basishonorarsatz",H82,IF($G$44="Viertelsatz",H83,IF($G$44="Mittelsatz",H84,IF($G$44="Dreiviertelsatz",H85,H86))))</f>
        <v>#REF!</v>
      </c>
      <c r="I89" s="532"/>
      <c r="J89" s="533" t="e">
        <f>IF($G$44="Basishonorarsatz",J82,IF($G$44="Viertelsatz",J83,IF($G$44="Mittelsatz",J84,IF($G$44="Dreiviertelsatz",J85,J86))))</f>
        <v>#REF!</v>
      </c>
      <c r="K89" s="532"/>
      <c r="L89" s="1235" t="e">
        <f>IF($G$44="Basishonorarsatz",L82,IF($G$44="Viertelsatz",L83,IF($G$44="Mittelsatz",L84,IF($G$44="Dreiviertelsatz",L85,L86))))</f>
        <v>#REF!</v>
      </c>
      <c r="M89" s="1236"/>
      <c r="N89" s="534"/>
    </row>
    <row r="90" spans="2:22" ht="14.55" thickBot="1" x14ac:dyDescent="0.3">
      <c r="B90" s="73" t="s">
        <v>125</v>
      </c>
    </row>
    <row r="91" spans="2:22" ht="15" customHeight="1" thickBot="1" x14ac:dyDescent="0.3">
      <c r="B91" s="73" t="s">
        <v>362</v>
      </c>
      <c r="G91" s="487"/>
      <c r="H91" s="1267" t="s">
        <v>363</v>
      </c>
      <c r="I91" s="1268"/>
      <c r="J91" s="1268"/>
      <c r="K91" s="1269"/>
      <c r="L91" s="583"/>
      <c r="M91" s="584"/>
    </row>
    <row r="92" spans="2:22" ht="14.55" thickBot="1" x14ac:dyDescent="0.3">
      <c r="B92" s="73" t="s">
        <v>364</v>
      </c>
      <c r="G92" s="488"/>
      <c r="H92" s="1270" t="s">
        <v>487</v>
      </c>
      <c r="I92" s="1271"/>
      <c r="J92" s="1186" t="s">
        <v>366</v>
      </c>
      <c r="K92" s="1187"/>
      <c r="L92" s="543"/>
      <c r="M92" s="543"/>
      <c r="T92" s="383"/>
      <c r="U92" s="383"/>
      <c r="V92" s="383"/>
    </row>
    <row r="93" spans="2:22" ht="14.55" x14ac:dyDescent="0.3">
      <c r="B93" s="73" t="s">
        <v>369</v>
      </c>
      <c r="G93" s="489">
        <v>1</v>
      </c>
      <c r="H93" s="1272" t="e">
        <f>IF(#REF!="ja",#REF!,0)</f>
        <v>#REF!</v>
      </c>
      <c r="I93" s="1273"/>
      <c r="J93" s="1283" t="e">
        <f>IF(#REF!="ja",#REF!,0)</f>
        <v>#REF!</v>
      </c>
      <c r="K93" s="1284"/>
      <c r="L93" s="543" t="e">
        <f>H93+J93</f>
        <v>#REF!</v>
      </c>
      <c r="M93" s="543"/>
      <c r="T93" s="384"/>
      <c r="U93" s="384"/>
      <c r="V93" s="384"/>
    </row>
    <row r="94" spans="2:22" ht="14.55" x14ac:dyDescent="0.3">
      <c r="G94" s="491">
        <v>2</v>
      </c>
      <c r="H94" s="1158" t="e">
        <f>IF(#REF!="ja",#REF!,0)</f>
        <v>#REF!</v>
      </c>
      <c r="I94" s="1159"/>
      <c r="J94" s="1160" t="e">
        <f>IF(#REF!="ja",#REF!,0)</f>
        <v>#REF!</v>
      </c>
      <c r="K94" s="1161"/>
      <c r="L94" s="543" t="e">
        <f t="shared" ref="L94:L99" si="7">H94+J94</f>
        <v>#REF!</v>
      </c>
      <c r="M94" s="543"/>
      <c r="T94" s="385"/>
      <c r="U94" s="274"/>
      <c r="V94" s="385"/>
    </row>
    <row r="95" spans="2:22" ht="14.55" x14ac:dyDescent="0.3">
      <c r="B95" s="73" t="s">
        <v>125</v>
      </c>
      <c r="G95" s="491">
        <v>3</v>
      </c>
      <c r="H95" s="1158" t="e">
        <f>IF(#REF!="ja",#REF!,0)</f>
        <v>#REF!</v>
      </c>
      <c r="I95" s="1159"/>
      <c r="J95" s="1160" t="e">
        <f>IF(#REF!="ja",#REF!,0)</f>
        <v>#REF!</v>
      </c>
      <c r="K95" s="1161"/>
      <c r="L95" s="543" t="e">
        <f t="shared" si="7"/>
        <v>#REF!</v>
      </c>
      <c r="M95" s="543"/>
      <c r="T95" s="273"/>
      <c r="U95" s="274"/>
      <c r="V95" s="275"/>
    </row>
    <row r="96" spans="2:22" ht="14.55" x14ac:dyDescent="0.3">
      <c r="B96" s="73" t="s">
        <v>370</v>
      </c>
      <c r="G96" s="491">
        <v>4</v>
      </c>
      <c r="H96" s="1158" t="e">
        <f>IF(#REF!="ja",#REF!,0)</f>
        <v>#REF!</v>
      </c>
      <c r="I96" s="1159"/>
      <c r="J96" s="1160" t="e">
        <f>IF(#REF!="ja",#REF!,0)</f>
        <v>#REF!</v>
      </c>
      <c r="K96" s="1161"/>
      <c r="L96" s="543" t="e">
        <f t="shared" si="7"/>
        <v>#REF!</v>
      </c>
      <c r="M96" s="543"/>
      <c r="T96" s="273"/>
      <c r="U96" s="274"/>
      <c r="V96" s="275"/>
    </row>
    <row r="97" spans="2:22" ht="14.55" x14ac:dyDescent="0.3">
      <c r="G97" s="491" t="s">
        <v>371</v>
      </c>
      <c r="H97" s="1158" t="e">
        <f>IF(#REF!="ja",#REF!,0)</f>
        <v>#REF!</v>
      </c>
      <c r="I97" s="1159"/>
      <c r="J97" s="1160" t="e">
        <f>IF(#REF!="ja",#REF!,0)</f>
        <v>#REF!</v>
      </c>
      <c r="K97" s="1161"/>
      <c r="L97" s="543" t="e">
        <f t="shared" si="7"/>
        <v>#REF!</v>
      </c>
      <c r="M97" s="543"/>
      <c r="T97" s="273"/>
      <c r="U97" s="274"/>
      <c r="V97" s="275"/>
    </row>
    <row r="98" spans="2:22" ht="14.55" x14ac:dyDescent="0.3">
      <c r="G98" s="491" t="s">
        <v>372</v>
      </c>
      <c r="H98" s="1158" t="e">
        <f>IF(#REF!="ja",#REF!,0)</f>
        <v>#REF!</v>
      </c>
      <c r="I98" s="1159"/>
      <c r="J98" s="1160" t="e">
        <f>IF(#REF!="ja",#REF!,0)</f>
        <v>#REF!</v>
      </c>
      <c r="K98" s="1161"/>
      <c r="L98" s="543" t="e">
        <f t="shared" si="7"/>
        <v>#REF!</v>
      </c>
      <c r="M98" s="543"/>
      <c r="T98" s="273"/>
      <c r="U98" s="274"/>
      <c r="V98" s="275"/>
    </row>
    <row r="99" spans="2:22" ht="14.55" x14ac:dyDescent="0.3">
      <c r="G99" s="492">
        <v>6</v>
      </c>
      <c r="H99" s="1158" t="e">
        <f>IF(#REF!="ja",#REF!,0)</f>
        <v>#REF!</v>
      </c>
      <c r="I99" s="1159"/>
      <c r="J99" s="1160" t="e">
        <f>IF(#REF!="ja",#REF!,0)</f>
        <v>#REF!</v>
      </c>
      <c r="K99" s="1161"/>
      <c r="L99" s="543" t="e">
        <f t="shared" si="7"/>
        <v>#REF!</v>
      </c>
      <c r="M99" s="543"/>
      <c r="T99" s="273"/>
      <c r="U99" s="274"/>
      <c r="V99" s="275"/>
    </row>
    <row r="100" spans="2:22" ht="15.2" thickBot="1" x14ac:dyDescent="0.35">
      <c r="G100" s="585">
        <v>7</v>
      </c>
      <c r="H100" s="1158" t="e">
        <f>IF(#REF!="ja",#REF!,0)</f>
        <v>#REF!</v>
      </c>
      <c r="I100" s="1159"/>
      <c r="J100" s="1160" t="e">
        <f>IF(#REF!="ja",#REF!,0)</f>
        <v>#REF!</v>
      </c>
      <c r="K100" s="1161"/>
      <c r="L100" s="543"/>
      <c r="M100" s="543"/>
      <c r="T100" s="273"/>
      <c r="U100" s="274"/>
      <c r="V100" s="275"/>
    </row>
    <row r="101" spans="2:22" ht="15.2" thickBot="1" x14ac:dyDescent="0.35">
      <c r="G101" s="494" t="s">
        <v>377</v>
      </c>
      <c r="H101" s="1216" t="e">
        <f>SUM(H93:I100)</f>
        <v>#REF!</v>
      </c>
      <c r="I101" s="1217"/>
      <c r="J101" s="1220" t="e">
        <f>SUM(J93:K100)</f>
        <v>#REF!</v>
      </c>
      <c r="K101" s="1221"/>
      <c r="L101" s="564"/>
      <c r="M101" s="564"/>
      <c r="T101" s="273"/>
      <c r="U101" s="274"/>
      <c r="V101" s="275"/>
    </row>
    <row r="102" spans="2:22" ht="14.25" customHeight="1" thickBot="1" x14ac:dyDescent="0.35">
      <c r="G102" s="494" t="s">
        <v>488</v>
      </c>
      <c r="H102" s="1214" t="e">
        <f>H101*#REF!+H101</f>
        <v>#REF!</v>
      </c>
      <c r="I102" s="1215"/>
      <c r="J102" s="542"/>
      <c r="T102" s="273"/>
      <c r="U102" s="274"/>
      <c r="V102" s="275"/>
    </row>
    <row r="103" spans="2:22" ht="14.55" x14ac:dyDescent="0.3">
      <c r="K103" s="543"/>
      <c r="T103" s="273"/>
      <c r="U103" s="274"/>
      <c r="V103" s="275"/>
    </row>
    <row r="104" spans="2:22" ht="15.2" thickBot="1" x14ac:dyDescent="0.35">
      <c r="T104" s="273"/>
      <c r="U104" s="274"/>
      <c r="V104" s="275"/>
    </row>
    <row r="105" spans="2:22" ht="15.2" thickBot="1" x14ac:dyDescent="0.35">
      <c r="B105" s="497" t="s">
        <v>115</v>
      </c>
      <c r="C105" s="498" t="s">
        <v>306</v>
      </c>
      <c r="D105" s="499" t="s">
        <v>307</v>
      </c>
      <c r="E105" s="499" t="s">
        <v>308</v>
      </c>
      <c r="F105" s="499" t="s">
        <v>309</v>
      </c>
      <c r="G105" s="499" t="s">
        <v>310</v>
      </c>
      <c r="H105" s="499" t="s">
        <v>311</v>
      </c>
      <c r="I105" s="499"/>
      <c r="J105" s="499"/>
      <c r="K105" s="499"/>
      <c r="L105" s="499"/>
      <c r="M105" s="499" t="s">
        <v>316</v>
      </c>
      <c r="N105" s="499" t="s">
        <v>317</v>
      </c>
      <c r="O105" s="499"/>
      <c r="P105" s="499"/>
      <c r="Q105" s="586" t="s">
        <v>380</v>
      </c>
      <c r="T105" s="273"/>
      <c r="U105" s="274"/>
      <c r="V105" s="275"/>
    </row>
    <row r="106" spans="2:22" ht="14.55" x14ac:dyDescent="0.3">
      <c r="B106" s="501">
        <f>IF(Überblick!$H$53&gt;=1,1,"")</f>
        <v>1</v>
      </c>
      <c r="C106" s="587" t="e">
        <f>IF($B106=#REF!,#REF!*#REF!+#REF!+#REF!+#REF!+#REF!+#REF!,0)</f>
        <v>#REF!</v>
      </c>
      <c r="D106" s="547" t="e">
        <f>IF($B106=#REF!,#REF!*#REF!+#REF!+#REF!,0)</f>
        <v>#REF!</v>
      </c>
      <c r="E106" s="547" t="e">
        <f>IF($B106=#REF!,#REF!*#REF!+#REF!+#REF!,0)</f>
        <v>#REF!</v>
      </c>
      <c r="F106" s="547" t="e">
        <f>IF($B106=#REF!,#REF!*#REF!+#REF!+#REF!,0)</f>
        <v>#REF!</v>
      </c>
      <c r="G106" s="547" t="e">
        <f>IF($B106=#REF!,#REF!*#REF!+#REF!+#REF!+#REF!+#REF!,0)</f>
        <v>#REF!</v>
      </c>
      <c r="H106" s="547" t="e">
        <f>IF($B106=#REF!,#REF!*#REF!+#REF!+#REF!,0)</f>
        <v>#REF!</v>
      </c>
      <c r="I106" s="547"/>
      <c r="J106" s="547"/>
      <c r="K106" s="547"/>
      <c r="L106" s="547"/>
      <c r="M106" s="547" t="e">
        <f>IF($B106=#REF!,#REF!*#REF!+#REF!+#REF!,0)</f>
        <v>#REF!</v>
      </c>
      <c r="N106" s="547" t="e">
        <f>IF($B106=#REF!,#REF!*#REF!+#REF!+#REF!,0)</f>
        <v>#REF!</v>
      </c>
      <c r="O106" s="547"/>
      <c r="P106" s="547"/>
      <c r="Q106" s="588" t="e">
        <f>SUM(C106:P106)</f>
        <v>#REF!</v>
      </c>
      <c r="T106" s="273"/>
      <c r="U106" s="274"/>
      <c r="V106" s="275"/>
    </row>
    <row r="107" spans="2:22" ht="14.55" x14ac:dyDescent="0.3">
      <c r="B107" s="505">
        <f>IF(Überblick!$H$53&gt;=2,2,"")</f>
        <v>2</v>
      </c>
      <c r="C107" s="589" t="e">
        <f>IF($B107=#REF!,#REF!*#REF!+#REF!+#REF!+#REF!,0)</f>
        <v>#REF!</v>
      </c>
      <c r="D107" s="551" t="e">
        <f>IF($B107=#REF!,#REF!*#REF!+#REF!+#REF!,0)</f>
        <v>#REF!</v>
      </c>
      <c r="E107" s="551" t="e">
        <f>IF($B107=#REF!,#REF!*#REF!+#REF!+#REF!,0)</f>
        <v>#REF!</v>
      </c>
      <c r="F107" s="551" t="e">
        <f>IF($B107=#REF!,#REF!*#REF!+#REF!+#REF!,0)</f>
        <v>#REF!</v>
      </c>
      <c r="G107" s="551" t="e">
        <f>IF($B107=#REF!,#REF!*#REF!+#REF!+#REF!+#REF!+#REF!,0)</f>
        <v>#REF!</v>
      </c>
      <c r="H107" s="551" t="e">
        <f>IF($B107=#REF!,#REF!*#REF!+#REF!+#REF!,0)</f>
        <v>#REF!</v>
      </c>
      <c r="I107" s="551"/>
      <c r="J107" s="551"/>
      <c r="K107" s="551"/>
      <c r="L107" s="551"/>
      <c r="M107" s="551" t="e">
        <f>IF($B107=#REF!,#REF!*#REF!+#REF!+#REF!,0)</f>
        <v>#REF!</v>
      </c>
      <c r="N107" s="551" t="e">
        <f>IF($B107=#REF!,#REF!*#REF!+#REF!+#REF!,0)</f>
        <v>#REF!</v>
      </c>
      <c r="O107" s="551"/>
      <c r="P107" s="551"/>
      <c r="Q107" s="590" t="e">
        <f t="shared" ref="Q107:Q114" si="8">SUM(C107:P107)</f>
        <v>#REF!</v>
      </c>
      <c r="T107" s="273"/>
      <c r="U107" s="274"/>
      <c r="V107" s="275"/>
    </row>
    <row r="108" spans="2:22" ht="14.55" x14ac:dyDescent="0.3">
      <c r="B108" s="505">
        <f>IF(Überblick!$H$53&gt;=3,3,"")</f>
        <v>3</v>
      </c>
      <c r="C108" s="589" t="e">
        <f>IF($B108=#REF!,#REF!*#REF!+#REF!+#REF!+#REF!,0)</f>
        <v>#REF!</v>
      </c>
      <c r="D108" s="551" t="e">
        <f>IF($B108=#REF!,#REF!*#REF!+#REF!+#REF!,0)</f>
        <v>#REF!</v>
      </c>
      <c r="E108" s="551" t="e">
        <f>IF($B108=#REF!,#REF!*#REF!+#REF!+#REF!,0)</f>
        <v>#REF!</v>
      </c>
      <c r="F108" s="551" t="e">
        <f>IF($B108=#REF!,#REF!*#REF!+#REF!+#REF!,0)</f>
        <v>#REF!</v>
      </c>
      <c r="G108" s="551" t="e">
        <f>IF($B108=#REF!,#REF!*#REF!+#REF!+#REF!+#REF!+#REF!,0)</f>
        <v>#REF!</v>
      </c>
      <c r="H108" s="551" t="e">
        <f>IF($B108=#REF!,#REF!*#REF!+#REF!+#REF!,0)</f>
        <v>#REF!</v>
      </c>
      <c r="I108" s="551"/>
      <c r="J108" s="551"/>
      <c r="K108" s="551"/>
      <c r="L108" s="551"/>
      <c r="M108" s="551" t="e">
        <f>IF($B108=#REF!,#REF!*#REF!+#REF!+#REF!,0)</f>
        <v>#REF!</v>
      </c>
      <c r="N108" s="551" t="e">
        <f>IF($B108=#REF!,#REF!*#REF!+#REF!+#REF!,0)</f>
        <v>#REF!</v>
      </c>
      <c r="O108" s="551"/>
      <c r="P108" s="551"/>
      <c r="Q108" s="590" t="e">
        <f t="shared" si="8"/>
        <v>#REF!</v>
      </c>
      <c r="T108" s="273"/>
      <c r="U108" s="274"/>
      <c r="V108" s="275"/>
    </row>
    <row r="109" spans="2:22" ht="14.55" x14ac:dyDescent="0.3">
      <c r="B109" s="505" t="str">
        <f>IF(Überblick!$H$53&gt;=4,4,"")</f>
        <v/>
      </c>
      <c r="C109" s="589" t="e">
        <f>IF($B109=#REF!,#REF!*#REF!+#REF!+#REF!+#REF!,0)</f>
        <v>#REF!</v>
      </c>
      <c r="D109" s="551" t="e">
        <f>IF($B109=#REF!,#REF!*#REF!+#REF!+#REF!,0)</f>
        <v>#REF!</v>
      </c>
      <c r="E109" s="551" t="e">
        <f>IF($B109=#REF!,#REF!*#REF!+#REF!+#REF!,0)</f>
        <v>#REF!</v>
      </c>
      <c r="F109" s="551" t="e">
        <f>IF($B109=#REF!,#REF!*#REF!+#REF!+#REF!,0)</f>
        <v>#REF!</v>
      </c>
      <c r="G109" s="551" t="e">
        <f>IF($B109=#REF!,#REF!*#REF!+#REF!+#REF!+#REF!+#REF!,0)</f>
        <v>#REF!</v>
      </c>
      <c r="H109" s="551" t="e">
        <f>IF($B109=#REF!,#REF!*#REF!+#REF!+#REF!,0)</f>
        <v>#REF!</v>
      </c>
      <c r="I109" s="551"/>
      <c r="J109" s="551"/>
      <c r="K109" s="551"/>
      <c r="L109" s="551"/>
      <c r="M109" s="551" t="e">
        <f>IF($B109=#REF!,#REF!*#REF!+#REF!+#REF!,0)</f>
        <v>#REF!</v>
      </c>
      <c r="N109" s="551" t="e">
        <f>IF($B109=#REF!,#REF!*#REF!+#REF!+#REF!,0)</f>
        <v>#REF!</v>
      </c>
      <c r="O109" s="551"/>
      <c r="P109" s="551"/>
      <c r="Q109" s="590" t="e">
        <f>SUM(C109:P109)</f>
        <v>#REF!</v>
      </c>
      <c r="T109" s="273"/>
      <c r="U109" s="274"/>
      <c r="V109" s="275"/>
    </row>
    <row r="110" spans="2:22" ht="14.55" x14ac:dyDescent="0.3">
      <c r="B110" s="505" t="str">
        <f>IF(Überblick!$H$53&gt;=5,5,"")</f>
        <v/>
      </c>
      <c r="C110" s="589" t="e">
        <f>IF($B110=#REF!,#REF!*#REF!+#REF!+#REF!+#REF!,0)</f>
        <v>#REF!</v>
      </c>
      <c r="D110" s="551" t="e">
        <f>IF($B110=#REF!,#REF!*#REF!+#REF!+#REF!,0)</f>
        <v>#REF!</v>
      </c>
      <c r="E110" s="551" t="e">
        <f>IF($B110=#REF!,#REF!*#REF!+#REF!+#REF!,0)</f>
        <v>#REF!</v>
      </c>
      <c r="F110" s="551" t="e">
        <f>IF($B110=#REF!,#REF!*#REF!+#REF!+#REF!,0)</f>
        <v>#REF!</v>
      </c>
      <c r="G110" s="551" t="e">
        <f>IF($B110=#REF!,#REF!*#REF!+#REF!+#REF!+#REF!+#REF!,0)</f>
        <v>#REF!</v>
      </c>
      <c r="H110" s="551" t="e">
        <f>IF($B110=#REF!,#REF!*#REF!+#REF!+#REF!,0)</f>
        <v>#REF!</v>
      </c>
      <c r="I110" s="551"/>
      <c r="J110" s="551"/>
      <c r="K110" s="551"/>
      <c r="L110" s="551"/>
      <c r="M110" s="551" t="e">
        <f>IF($B110=#REF!,#REF!*#REF!+#REF!+#REF!,0)</f>
        <v>#REF!</v>
      </c>
      <c r="N110" s="551" t="e">
        <f>IF($B110=#REF!,#REF!*#REF!+#REF!+#REF!,0)</f>
        <v>#REF!</v>
      </c>
      <c r="O110" s="551"/>
      <c r="P110" s="551"/>
      <c r="Q110" s="590" t="e">
        <f t="shared" si="8"/>
        <v>#REF!</v>
      </c>
      <c r="T110" s="273"/>
      <c r="U110" s="274"/>
      <c r="V110" s="275"/>
    </row>
    <row r="111" spans="2:22" ht="14.55" x14ac:dyDescent="0.3">
      <c r="B111" s="505" t="str">
        <f>IF(Überblick!$H$53&gt;=6,6,"")</f>
        <v/>
      </c>
      <c r="C111" s="589" t="e">
        <f>IF($B111=#REF!,#REF!*#REF!+#REF!+#REF!+#REF!,0)</f>
        <v>#REF!</v>
      </c>
      <c r="D111" s="551" t="e">
        <f>IF($B111=#REF!,#REF!*#REF!+#REF!+#REF!,0)</f>
        <v>#REF!</v>
      </c>
      <c r="E111" s="551" t="e">
        <f>IF($B111=#REF!,#REF!*#REF!+#REF!+#REF!,0)</f>
        <v>#REF!</v>
      </c>
      <c r="F111" s="551" t="e">
        <f>IF($B111=#REF!,#REF!*#REF!+#REF!+#REF!,0)</f>
        <v>#REF!</v>
      </c>
      <c r="G111" s="551" t="e">
        <f>IF($B111=#REF!,#REF!*#REF!+#REF!+#REF!+#REF!+#REF!,0)</f>
        <v>#REF!</v>
      </c>
      <c r="H111" s="551" t="e">
        <f>IF($B111=#REF!,#REF!*#REF!+#REF!+#REF!,0)</f>
        <v>#REF!</v>
      </c>
      <c r="I111" s="551"/>
      <c r="J111" s="551"/>
      <c r="K111" s="551"/>
      <c r="L111" s="551"/>
      <c r="M111" s="551" t="e">
        <f>IF($B111=#REF!,#REF!*#REF!+#REF!+#REF!,0)</f>
        <v>#REF!</v>
      </c>
      <c r="N111" s="551" t="e">
        <f>IF($B111=#REF!,#REF!*#REF!+#REF!+#REF!,0)</f>
        <v>#REF!</v>
      </c>
      <c r="O111" s="551"/>
      <c r="P111" s="551"/>
      <c r="Q111" s="590" t="e">
        <f t="shared" si="8"/>
        <v>#REF!</v>
      </c>
      <c r="T111" s="273"/>
      <c r="U111" s="274"/>
      <c r="V111" s="275"/>
    </row>
    <row r="112" spans="2:22" ht="14.55" x14ac:dyDescent="0.3">
      <c r="B112" s="505" t="str">
        <f>IF(Überblick!$H$53&gt;=7,7,"")</f>
        <v/>
      </c>
      <c r="C112" s="589" t="e">
        <f>IF($B112=#REF!,#REF!*#REF!+#REF!+#REF!+#REF!,0)</f>
        <v>#REF!</v>
      </c>
      <c r="D112" s="551" t="e">
        <f>IF($B112=#REF!,#REF!*#REF!+#REF!+#REF!,0)</f>
        <v>#REF!</v>
      </c>
      <c r="E112" s="551" t="e">
        <f>IF($B112=#REF!,#REF!*#REF!+#REF!+#REF!,0)</f>
        <v>#REF!</v>
      </c>
      <c r="F112" s="551" t="e">
        <f>IF($B112=#REF!,#REF!*#REF!+#REF!+#REF!,0)</f>
        <v>#REF!</v>
      </c>
      <c r="G112" s="551" t="e">
        <f>IF($B112=#REF!,#REF!*#REF!+#REF!+#REF!+#REF!+#REF!,0)</f>
        <v>#REF!</v>
      </c>
      <c r="H112" s="551" t="e">
        <f>IF($B112=#REF!,#REF!*#REF!+#REF!+#REF!,0)</f>
        <v>#REF!</v>
      </c>
      <c r="I112" s="551"/>
      <c r="J112" s="551"/>
      <c r="K112" s="551"/>
      <c r="L112" s="551"/>
      <c r="M112" s="551" t="e">
        <f>IF($B112=#REF!,#REF!*#REF!+#REF!+#REF!,0)</f>
        <v>#REF!</v>
      </c>
      <c r="N112" s="551" t="e">
        <f>IF($B112=#REF!,#REF!*#REF!+#REF!+#REF!,0)</f>
        <v>#REF!</v>
      </c>
      <c r="O112" s="551"/>
      <c r="P112" s="551"/>
      <c r="Q112" s="590" t="e">
        <f t="shared" si="8"/>
        <v>#REF!</v>
      </c>
      <c r="T112" s="273"/>
      <c r="U112" s="274"/>
      <c r="V112" s="275"/>
    </row>
    <row r="113" spans="2:22" ht="14.55" x14ac:dyDescent="0.3">
      <c r="B113" s="505" t="str">
        <f>IF(Überblick!$H$53&gt;=8,8,"")</f>
        <v/>
      </c>
      <c r="C113" s="589" t="e">
        <f>IF($B113=#REF!,#REF!*#REF!+#REF!+#REF!+#REF!,0)</f>
        <v>#REF!</v>
      </c>
      <c r="D113" s="551" t="e">
        <f>IF($B113=#REF!,#REF!*#REF!+#REF!+#REF!,0)</f>
        <v>#REF!</v>
      </c>
      <c r="E113" s="551" t="e">
        <f>IF($B113=#REF!,#REF!*#REF!+#REF!+#REF!,0)</f>
        <v>#REF!</v>
      </c>
      <c r="F113" s="551" t="e">
        <f>IF($B113=#REF!,#REF!*#REF!+#REF!+#REF!,0)</f>
        <v>#REF!</v>
      </c>
      <c r="G113" s="551" t="e">
        <f>IF($B113=#REF!,#REF!*#REF!+#REF!+#REF!+#REF!+#REF!,0)</f>
        <v>#REF!</v>
      </c>
      <c r="H113" s="551" t="e">
        <f>IF($B113=#REF!,#REF!*#REF!+#REF!+#REF!,0)</f>
        <v>#REF!</v>
      </c>
      <c r="I113" s="551"/>
      <c r="J113" s="551"/>
      <c r="K113" s="551"/>
      <c r="L113" s="551"/>
      <c r="M113" s="551" t="e">
        <f>IF($B113=#REF!,#REF!*#REF!+#REF!+#REF!,0)</f>
        <v>#REF!</v>
      </c>
      <c r="N113" s="551" t="e">
        <f>IF($B113=#REF!,#REF!*#REF!+#REF!+#REF!,0)</f>
        <v>#REF!</v>
      </c>
      <c r="O113" s="551"/>
      <c r="P113" s="551"/>
      <c r="Q113" s="590" t="e">
        <f t="shared" si="8"/>
        <v>#REF!</v>
      </c>
      <c r="T113" s="273"/>
      <c r="U113" s="274"/>
      <c r="V113" s="275"/>
    </row>
    <row r="114" spans="2:22" ht="15.2" thickBot="1" x14ac:dyDescent="0.35">
      <c r="B114" s="509" t="str">
        <f>IF(Überblick!$H$53&gt;=9,9,"")</f>
        <v/>
      </c>
      <c r="C114" s="591" t="e">
        <f>IF($B114=#REF!,#REF!*#REF!+#REF!+#REF!+#REF!,0)</f>
        <v>#REF!</v>
      </c>
      <c r="D114" s="556" t="e">
        <f>IF($B114=#REF!,#REF!*#REF!+#REF!+#REF!,0)</f>
        <v>#REF!</v>
      </c>
      <c r="E114" s="556" t="e">
        <f>IF($B114=#REF!,#REF!*#REF!+#REF!+#REF!,0)</f>
        <v>#REF!</v>
      </c>
      <c r="F114" s="556" t="e">
        <f>IF($B114=#REF!,#REF!*#REF!+#REF!+#REF!,0)</f>
        <v>#REF!</v>
      </c>
      <c r="G114" s="556" t="e">
        <f>IF($B114=#REF!,#REF!*#REF!+#REF!+#REF!+#REF!+#REF!,0)</f>
        <v>#REF!</v>
      </c>
      <c r="H114" s="556" t="e">
        <f>IF($B114=#REF!,#REF!*#REF!+#REF!+#REF!,0)</f>
        <v>#REF!</v>
      </c>
      <c r="I114" s="556"/>
      <c r="J114" s="556"/>
      <c r="K114" s="556"/>
      <c r="L114" s="556"/>
      <c r="M114" s="556" t="e">
        <f>IF($B114=#REF!,#REF!*#REF!+#REF!+#REF!,0)</f>
        <v>#REF!</v>
      </c>
      <c r="N114" s="556" t="e">
        <f>IF($B114=#REF!,#REF!*#REF!+#REF!+#REF!,0)</f>
        <v>#REF!</v>
      </c>
      <c r="O114" s="556"/>
      <c r="P114" s="556"/>
      <c r="Q114" s="592" t="e">
        <f t="shared" si="8"/>
        <v>#REF!</v>
      </c>
      <c r="T114" s="273"/>
      <c r="U114" s="274"/>
      <c r="V114" s="275"/>
    </row>
    <row r="115" spans="2:22" ht="15.2" thickBot="1" x14ac:dyDescent="0.35">
      <c r="Q115" s="593" t="e">
        <f>SUM(Q106:Q114)</f>
        <v>#REF!</v>
      </c>
      <c r="T115" s="273"/>
      <c r="U115" s="274"/>
      <c r="V115" s="275"/>
    </row>
    <row r="116" spans="2:22" ht="14.55" x14ac:dyDescent="0.3">
      <c r="T116" s="273"/>
      <c r="U116" s="274"/>
      <c r="V116" s="275"/>
    </row>
    <row r="117" spans="2:22" ht="14.55" x14ac:dyDescent="0.3">
      <c r="T117" s="273"/>
      <c r="U117" s="274"/>
      <c r="V117" s="275"/>
    </row>
    <row r="118" spans="2:22" ht="14.55" x14ac:dyDescent="0.3">
      <c r="T118" s="273"/>
      <c r="U118" s="274"/>
      <c r="V118" s="275"/>
    </row>
    <row r="119" spans="2:22" ht="14.55" x14ac:dyDescent="0.3">
      <c r="T119" s="273"/>
      <c r="U119" s="274"/>
      <c r="V119" s="275"/>
    </row>
    <row r="120" spans="2:22" ht="14.55" x14ac:dyDescent="0.3">
      <c r="T120" s="273"/>
      <c r="U120" s="274"/>
      <c r="V120" s="275"/>
    </row>
    <row r="121" spans="2:22" ht="14.55" x14ac:dyDescent="0.3">
      <c r="T121" s="273"/>
      <c r="U121" s="274"/>
      <c r="V121" s="275"/>
    </row>
    <row r="122" spans="2:22" ht="14.55" x14ac:dyDescent="0.3">
      <c r="T122" s="273"/>
      <c r="U122" s="274"/>
      <c r="V122" s="275"/>
    </row>
    <row r="123" spans="2:22" ht="14.55" x14ac:dyDescent="0.3">
      <c r="T123" s="273"/>
      <c r="U123" s="274"/>
      <c r="V123" s="275"/>
    </row>
    <row r="124" spans="2:22" ht="14.55" x14ac:dyDescent="0.3">
      <c r="T124" s="273"/>
      <c r="U124" s="274"/>
      <c r="V124" s="275"/>
    </row>
    <row r="125" spans="2:22" ht="14.55" x14ac:dyDescent="0.3">
      <c r="T125" s="273"/>
      <c r="U125" s="274"/>
      <c r="V125" s="275"/>
    </row>
    <row r="126" spans="2:22" ht="14.55" x14ac:dyDescent="0.3">
      <c r="T126" s="273"/>
      <c r="U126" s="274"/>
      <c r="V126" s="275"/>
    </row>
    <row r="127" spans="2:22" ht="14.55" x14ac:dyDescent="0.3">
      <c r="T127" s="273"/>
      <c r="U127" s="274"/>
      <c r="V127" s="275"/>
    </row>
    <row r="128" spans="2:22" ht="14.55" x14ac:dyDescent="0.3">
      <c r="T128" s="273"/>
      <c r="U128" s="274"/>
      <c r="V128" s="275"/>
    </row>
    <row r="129" spans="20:22" ht="14.55" x14ac:dyDescent="0.3">
      <c r="T129" s="273"/>
      <c r="U129" s="274"/>
      <c r="V129" s="275"/>
    </row>
    <row r="130" spans="20:22" ht="14.55" x14ac:dyDescent="0.3">
      <c r="T130" s="273"/>
      <c r="U130" s="274"/>
      <c r="V130" s="275"/>
    </row>
    <row r="131" spans="20:22" ht="14.55" x14ac:dyDescent="0.3">
      <c r="T131" s="273"/>
      <c r="U131" s="274"/>
      <c r="V131" s="275"/>
    </row>
    <row r="132" spans="20:22" ht="14.55" x14ac:dyDescent="0.3">
      <c r="T132" s="273"/>
      <c r="U132" s="274"/>
      <c r="V132" s="275"/>
    </row>
    <row r="133" spans="20:22" ht="14.55" x14ac:dyDescent="0.3">
      <c r="T133" s="273"/>
      <c r="U133" s="274"/>
      <c r="V133" s="275"/>
    </row>
    <row r="134" spans="20:22" ht="14.55" x14ac:dyDescent="0.3">
      <c r="T134" s="273"/>
      <c r="U134" s="274"/>
      <c r="V134" s="275"/>
    </row>
    <row r="135" spans="20:22" ht="14.55" x14ac:dyDescent="0.3">
      <c r="T135" s="273"/>
      <c r="U135" s="274"/>
      <c r="V135" s="275"/>
    </row>
    <row r="136" spans="20:22" ht="14.55" x14ac:dyDescent="0.3">
      <c r="T136" s="273"/>
      <c r="U136" s="274"/>
      <c r="V136" s="275"/>
    </row>
    <row r="137" spans="20:22" ht="14.55" x14ac:dyDescent="0.3">
      <c r="T137" s="273"/>
      <c r="U137" s="274"/>
      <c r="V137" s="275"/>
    </row>
    <row r="138" spans="20:22" ht="14.55" x14ac:dyDescent="0.3">
      <c r="T138" s="273"/>
      <c r="U138" s="274"/>
      <c r="V138" s="275"/>
    </row>
    <row r="139" spans="20:22" ht="14.55" x14ac:dyDescent="0.3">
      <c r="T139" s="273"/>
      <c r="U139" s="274"/>
      <c r="V139" s="275"/>
    </row>
    <row r="140" spans="20:22" ht="14.55" x14ac:dyDescent="0.3">
      <c r="T140" s="273"/>
      <c r="U140" s="274"/>
      <c r="V140" s="275"/>
    </row>
    <row r="141" spans="20:22" ht="14.55" x14ac:dyDescent="0.3">
      <c r="T141" s="273"/>
      <c r="U141" s="274"/>
      <c r="V141" s="275"/>
    </row>
    <row r="142" spans="20:22" ht="14.55" x14ac:dyDescent="0.3">
      <c r="T142" s="273"/>
      <c r="U142" s="274"/>
      <c r="V142" s="275"/>
    </row>
    <row r="143" spans="20:22" ht="14.55" x14ac:dyDescent="0.3">
      <c r="T143" s="273"/>
      <c r="U143" s="274"/>
      <c r="V143" s="275"/>
    </row>
    <row r="144" spans="20:22" ht="14.55" x14ac:dyDescent="0.3">
      <c r="T144" s="273"/>
      <c r="U144" s="274"/>
      <c r="V144" s="275"/>
    </row>
    <row r="145" spans="20:22" ht="14.55" x14ac:dyDescent="0.3">
      <c r="T145" s="273"/>
      <c r="U145" s="274"/>
      <c r="V145" s="275"/>
    </row>
    <row r="146" spans="20:22" ht="14.55" x14ac:dyDescent="0.3">
      <c r="T146" s="273"/>
      <c r="U146" s="274"/>
      <c r="V146" s="275"/>
    </row>
    <row r="147" spans="20:22" ht="14.55" x14ac:dyDescent="0.3">
      <c r="T147" s="273"/>
      <c r="U147" s="274"/>
      <c r="V147" s="275"/>
    </row>
    <row r="148" spans="20:22" ht="14.55" x14ac:dyDescent="0.3">
      <c r="T148" s="273"/>
      <c r="U148" s="274"/>
      <c r="V148" s="275"/>
    </row>
    <row r="149" spans="20:22" ht="14.55" x14ac:dyDescent="0.3">
      <c r="T149" s="273"/>
      <c r="U149" s="274"/>
      <c r="V149" s="275"/>
    </row>
    <row r="150" spans="20:22" ht="14.55" x14ac:dyDescent="0.3">
      <c r="T150" s="273"/>
      <c r="U150" s="274"/>
      <c r="V150" s="275"/>
    </row>
    <row r="151" spans="20:22" ht="14.55" x14ac:dyDescent="0.3">
      <c r="T151" s="273"/>
      <c r="U151" s="274"/>
      <c r="V151" s="275"/>
    </row>
    <row r="152" spans="20:22" ht="14.55" x14ac:dyDescent="0.3">
      <c r="T152" s="273"/>
      <c r="U152" s="274"/>
      <c r="V152" s="275"/>
    </row>
    <row r="153" spans="20:22" ht="14.55" x14ac:dyDescent="0.3">
      <c r="T153" s="273"/>
      <c r="U153" s="274"/>
      <c r="V153" s="275"/>
    </row>
    <row r="154" spans="20:22" ht="14.55" x14ac:dyDescent="0.3">
      <c r="T154" s="273"/>
      <c r="U154" s="274"/>
      <c r="V154" s="275"/>
    </row>
    <row r="155" spans="20:22" ht="14.55" x14ac:dyDescent="0.3">
      <c r="T155" s="273"/>
      <c r="U155" s="274"/>
      <c r="V155" s="275"/>
    </row>
    <row r="156" spans="20:22" ht="14.55" x14ac:dyDescent="0.3">
      <c r="T156" s="273"/>
      <c r="U156" s="274"/>
      <c r="V156" s="275"/>
    </row>
    <row r="157" spans="20:22" ht="14.55" x14ac:dyDescent="0.3">
      <c r="T157" s="273"/>
      <c r="U157" s="274"/>
      <c r="V157" s="275"/>
    </row>
    <row r="158" spans="20:22" ht="14.55" x14ac:dyDescent="0.3">
      <c r="T158" s="273"/>
      <c r="U158" s="274"/>
      <c r="V158" s="275"/>
    </row>
    <row r="159" spans="20:22" ht="14.55" x14ac:dyDescent="0.3">
      <c r="T159" s="273"/>
      <c r="U159" s="274"/>
      <c r="V159" s="275"/>
    </row>
    <row r="160" spans="20:22" ht="14.55" x14ac:dyDescent="0.3">
      <c r="T160" s="273"/>
      <c r="U160" s="274"/>
      <c r="V160" s="275"/>
    </row>
    <row r="161" spans="20:22" ht="14.55" x14ac:dyDescent="0.3">
      <c r="T161" s="273"/>
      <c r="U161" s="274"/>
      <c r="V161" s="275"/>
    </row>
    <row r="162" spans="20:22" ht="14.55" x14ac:dyDescent="0.3">
      <c r="T162" s="273"/>
      <c r="U162" s="274"/>
      <c r="V162" s="275"/>
    </row>
    <row r="163" spans="20:22" ht="14.55" x14ac:dyDescent="0.3">
      <c r="T163" s="273"/>
      <c r="U163" s="274"/>
      <c r="V163" s="275"/>
    </row>
    <row r="164" spans="20:22" ht="14.55" x14ac:dyDescent="0.3">
      <c r="T164" s="273"/>
      <c r="U164" s="274"/>
      <c r="V164" s="275"/>
    </row>
    <row r="165" spans="20:22" ht="14.55" x14ac:dyDescent="0.3">
      <c r="T165" s="273"/>
      <c r="U165" s="274"/>
      <c r="V165" s="275"/>
    </row>
    <row r="166" spans="20:22" ht="14.55" x14ac:dyDescent="0.3">
      <c r="T166" s="273"/>
      <c r="U166" s="274"/>
      <c r="V166" s="275"/>
    </row>
    <row r="167" spans="20:22" ht="14.55" x14ac:dyDescent="0.3">
      <c r="T167" s="273"/>
      <c r="U167" s="274"/>
      <c r="V167" s="275"/>
    </row>
    <row r="168" spans="20:22" ht="14.55" x14ac:dyDescent="0.3">
      <c r="T168" s="273"/>
      <c r="U168" s="274"/>
      <c r="V168" s="275"/>
    </row>
    <row r="169" spans="20:22" ht="14.55" x14ac:dyDescent="0.3">
      <c r="T169" s="273"/>
      <c r="U169" s="274"/>
      <c r="V169" s="560"/>
    </row>
    <row r="170" spans="20:22" ht="14.55" x14ac:dyDescent="0.3">
      <c r="T170" s="273"/>
      <c r="U170" s="274"/>
      <c r="V170" s="275"/>
    </row>
    <row r="171" spans="20:22" ht="14.55" x14ac:dyDescent="0.3">
      <c r="T171" s="273"/>
      <c r="U171" s="274"/>
      <c r="V171" s="275"/>
    </row>
    <row r="172" spans="20:22" ht="14.55" x14ac:dyDescent="0.3">
      <c r="T172" s="273"/>
      <c r="U172" s="274"/>
      <c r="V172" s="275"/>
    </row>
    <row r="173" spans="20:22" ht="14.55" x14ac:dyDescent="0.3">
      <c r="T173" s="273"/>
      <c r="U173" s="274"/>
      <c r="V173" s="275"/>
    </row>
    <row r="174" spans="20:22" ht="14.55" x14ac:dyDescent="0.3">
      <c r="T174" s="273"/>
      <c r="U174" s="274"/>
      <c r="V174" s="275"/>
    </row>
    <row r="175" spans="20:22" ht="14.55" x14ac:dyDescent="0.3">
      <c r="T175" s="273"/>
      <c r="U175" s="274"/>
      <c r="V175" s="275"/>
    </row>
    <row r="176" spans="20:22" ht="14.55" x14ac:dyDescent="0.3">
      <c r="T176" s="273"/>
      <c r="U176" s="274"/>
      <c r="V176" s="275"/>
    </row>
    <row r="177" spans="20:22" ht="14.55" x14ac:dyDescent="0.3">
      <c r="T177" s="273"/>
      <c r="U177" s="274"/>
      <c r="V177" s="275"/>
    </row>
    <row r="178" spans="20:22" ht="14.55" x14ac:dyDescent="0.3">
      <c r="T178" s="273"/>
      <c r="U178" s="274"/>
      <c r="V178" s="275"/>
    </row>
    <row r="179" spans="20:22" ht="14.55" x14ac:dyDescent="0.3">
      <c r="T179" s="273"/>
      <c r="U179" s="274"/>
      <c r="V179" s="275"/>
    </row>
    <row r="180" spans="20:22" ht="14.55" x14ac:dyDescent="0.3">
      <c r="T180" s="273"/>
      <c r="U180" s="274"/>
      <c r="V180" s="275"/>
    </row>
    <row r="181" spans="20:22" ht="14.55" x14ac:dyDescent="0.3">
      <c r="T181" s="273"/>
      <c r="U181" s="274"/>
      <c r="V181" s="275"/>
    </row>
    <row r="182" spans="20:22" ht="14.55" x14ac:dyDescent="0.3">
      <c r="T182" s="273"/>
      <c r="U182" s="274"/>
      <c r="V182" s="275"/>
    </row>
    <row r="183" spans="20:22" ht="14.55" x14ac:dyDescent="0.3">
      <c r="T183" s="273"/>
      <c r="U183" s="274"/>
      <c r="V183" s="275"/>
    </row>
    <row r="184" spans="20:22" ht="14.55" x14ac:dyDescent="0.3">
      <c r="T184" s="273"/>
      <c r="U184" s="274"/>
      <c r="V184" s="275"/>
    </row>
    <row r="185" spans="20:22" ht="14.55" x14ac:dyDescent="0.3">
      <c r="T185" s="273"/>
      <c r="U185" s="274"/>
      <c r="V185" s="275"/>
    </row>
    <row r="186" spans="20:22" ht="14.55" x14ac:dyDescent="0.3">
      <c r="T186" s="273"/>
      <c r="U186" s="274"/>
      <c r="V186" s="275"/>
    </row>
    <row r="187" spans="20:22" ht="14.55" x14ac:dyDescent="0.3">
      <c r="T187" s="273"/>
      <c r="U187" s="274"/>
      <c r="V187" s="275"/>
    </row>
    <row r="188" spans="20:22" ht="14.55" x14ac:dyDescent="0.3">
      <c r="T188" s="273"/>
      <c r="U188" s="274"/>
      <c r="V188" s="275"/>
    </row>
    <row r="189" spans="20:22" ht="14.55" x14ac:dyDescent="0.3">
      <c r="T189" s="273"/>
      <c r="U189" s="274"/>
      <c r="V189" s="275"/>
    </row>
    <row r="190" spans="20:22" ht="14.55" x14ac:dyDescent="0.3">
      <c r="T190" s="273"/>
      <c r="U190" s="274"/>
      <c r="V190" s="275"/>
    </row>
    <row r="191" spans="20:22" ht="14.55" x14ac:dyDescent="0.3">
      <c r="T191" s="273"/>
      <c r="U191" s="274"/>
      <c r="V191" s="275"/>
    </row>
    <row r="192" spans="20:22" ht="14.55" x14ac:dyDescent="0.3">
      <c r="T192" s="273"/>
      <c r="U192" s="274"/>
      <c r="V192" s="275"/>
    </row>
    <row r="193" spans="20:22" ht="14.55" x14ac:dyDescent="0.3">
      <c r="T193" s="273"/>
      <c r="U193" s="274"/>
      <c r="V193" s="275"/>
    </row>
    <row r="194" spans="20:22" ht="14.55" x14ac:dyDescent="0.3">
      <c r="T194" s="273"/>
      <c r="U194" s="274"/>
      <c r="V194" s="275"/>
    </row>
    <row r="195" spans="20:22" ht="14.55" x14ac:dyDescent="0.3">
      <c r="T195" s="273"/>
      <c r="U195" s="274"/>
      <c r="V195" s="275"/>
    </row>
    <row r="196" spans="20:22" ht="14.55" x14ac:dyDescent="0.3">
      <c r="T196" s="273"/>
      <c r="U196" s="274"/>
      <c r="V196" s="275"/>
    </row>
    <row r="197" spans="20:22" ht="14.55" x14ac:dyDescent="0.3">
      <c r="T197" s="273"/>
      <c r="U197" s="274"/>
      <c r="V197" s="275"/>
    </row>
    <row r="198" spans="20:22" ht="14.55" x14ac:dyDescent="0.3">
      <c r="T198" s="273"/>
      <c r="U198" s="274"/>
      <c r="V198" s="275"/>
    </row>
    <row r="199" spans="20:22" ht="14.55" x14ac:dyDescent="0.3">
      <c r="T199" s="273"/>
      <c r="U199" s="274"/>
      <c r="V199" s="275"/>
    </row>
    <row r="200" spans="20:22" ht="14.55" x14ac:dyDescent="0.3">
      <c r="T200" s="273"/>
      <c r="U200" s="274"/>
      <c r="V200" s="275"/>
    </row>
    <row r="201" spans="20:22" ht="14.55" x14ac:dyDescent="0.3">
      <c r="T201" s="273"/>
      <c r="U201" s="274"/>
      <c r="V201" s="275"/>
    </row>
    <row r="202" spans="20:22" ht="14.55" x14ac:dyDescent="0.3">
      <c r="T202" s="273"/>
      <c r="U202" s="274"/>
      <c r="V202" s="275"/>
    </row>
    <row r="203" spans="20:22" ht="14.55" x14ac:dyDescent="0.3">
      <c r="T203" s="273"/>
      <c r="U203" s="274"/>
      <c r="V203" s="275"/>
    </row>
    <row r="204" spans="20:22" ht="14.55" x14ac:dyDescent="0.3">
      <c r="T204" s="273"/>
      <c r="U204" s="274"/>
      <c r="V204" s="275"/>
    </row>
    <row r="205" spans="20:22" ht="14.55" x14ac:dyDescent="0.3">
      <c r="T205" s="273"/>
      <c r="U205" s="274"/>
      <c r="V205" s="275"/>
    </row>
    <row r="206" spans="20:22" ht="14.55" x14ac:dyDescent="0.3">
      <c r="T206" s="273"/>
      <c r="U206" s="274"/>
      <c r="V206" s="275"/>
    </row>
    <row r="207" spans="20:22" ht="14.55" x14ac:dyDescent="0.3">
      <c r="T207" s="273"/>
      <c r="U207" s="274"/>
      <c r="V207" s="275"/>
    </row>
    <row r="208" spans="20:22" ht="14.55" x14ac:dyDescent="0.3">
      <c r="T208" s="273"/>
      <c r="U208" s="274"/>
      <c r="V208" s="275"/>
    </row>
    <row r="209" spans="20:22" ht="14.55" x14ac:dyDescent="0.3">
      <c r="T209" s="273"/>
      <c r="U209" s="274"/>
      <c r="V209" s="275"/>
    </row>
    <row r="210" spans="20:22" ht="14.55" x14ac:dyDescent="0.3">
      <c r="T210" s="273"/>
      <c r="U210" s="274"/>
      <c r="V210" s="275"/>
    </row>
    <row r="211" spans="20:22" ht="14.55" x14ac:dyDescent="0.3">
      <c r="T211" s="273"/>
      <c r="U211" s="274"/>
      <c r="V211" s="275"/>
    </row>
    <row r="212" spans="20:22" ht="14.55" x14ac:dyDescent="0.3">
      <c r="T212" s="273"/>
      <c r="U212" s="274"/>
      <c r="V212" s="275"/>
    </row>
    <row r="213" spans="20:22" ht="14.55" x14ac:dyDescent="0.3">
      <c r="T213" s="273"/>
      <c r="U213" s="274"/>
      <c r="V213" s="275"/>
    </row>
    <row r="214" spans="20:22" ht="14.55" x14ac:dyDescent="0.3">
      <c r="T214" s="273"/>
      <c r="U214" s="274"/>
      <c r="V214" s="275"/>
    </row>
    <row r="215" spans="20:22" ht="14.55" x14ac:dyDescent="0.3">
      <c r="T215" s="273"/>
      <c r="U215" s="274"/>
      <c r="V215" s="275"/>
    </row>
    <row r="216" spans="20:22" ht="14.55" x14ac:dyDescent="0.3">
      <c r="T216" s="273"/>
      <c r="U216" s="274"/>
      <c r="V216" s="275"/>
    </row>
    <row r="217" spans="20:22" ht="14.55" x14ac:dyDescent="0.3">
      <c r="T217" s="273"/>
      <c r="U217" s="274"/>
      <c r="V217" s="275"/>
    </row>
    <row r="218" spans="20:22" ht="14.55" x14ac:dyDescent="0.3">
      <c r="T218" s="273"/>
      <c r="U218" s="274"/>
      <c r="V218" s="275"/>
    </row>
    <row r="219" spans="20:22" ht="14.55" x14ac:dyDescent="0.3">
      <c r="T219" s="273"/>
      <c r="U219" s="274"/>
      <c r="V219" s="275"/>
    </row>
    <row r="220" spans="20:22" ht="14.55" x14ac:dyDescent="0.3">
      <c r="T220" s="273"/>
      <c r="U220" s="274"/>
      <c r="V220" s="275"/>
    </row>
    <row r="221" spans="20:22" ht="14.55" x14ac:dyDescent="0.3">
      <c r="T221" s="273"/>
      <c r="U221" s="274"/>
      <c r="V221" s="275"/>
    </row>
    <row r="222" spans="20:22" ht="14.55" x14ac:dyDescent="0.3">
      <c r="T222" s="273"/>
      <c r="U222" s="274"/>
      <c r="V222" s="275"/>
    </row>
    <row r="223" spans="20:22" ht="14.55" x14ac:dyDescent="0.3">
      <c r="T223" s="273"/>
      <c r="U223" s="274"/>
      <c r="V223" s="275"/>
    </row>
    <row r="224" spans="20:22" ht="14.55" x14ac:dyDescent="0.3">
      <c r="T224" s="273"/>
      <c r="U224" s="274"/>
      <c r="V224" s="275"/>
    </row>
    <row r="225" spans="20:22" ht="14.55" x14ac:dyDescent="0.3">
      <c r="T225" s="273"/>
      <c r="U225" s="274"/>
      <c r="V225" s="275"/>
    </row>
    <row r="226" spans="20:22" ht="14.55" x14ac:dyDescent="0.3">
      <c r="T226" s="273"/>
      <c r="U226" s="274"/>
      <c r="V226" s="275"/>
    </row>
    <row r="227" spans="20:22" ht="14.55" x14ac:dyDescent="0.3">
      <c r="T227" s="273"/>
      <c r="U227" s="274"/>
      <c r="V227" s="275"/>
    </row>
    <row r="228" spans="20:22" ht="14.55" x14ac:dyDescent="0.3">
      <c r="T228" s="273"/>
      <c r="U228" s="274"/>
      <c r="V228" s="275"/>
    </row>
    <row r="229" spans="20:22" ht="14.55" x14ac:dyDescent="0.3">
      <c r="T229" s="273"/>
      <c r="U229" s="274"/>
      <c r="V229" s="275"/>
    </row>
    <row r="230" spans="20:22" ht="14.55" x14ac:dyDescent="0.3">
      <c r="T230" s="273"/>
      <c r="U230" s="274"/>
      <c r="V230" s="275"/>
    </row>
    <row r="231" spans="20:22" ht="14.55" x14ac:dyDescent="0.3">
      <c r="T231" s="273"/>
      <c r="U231" s="274"/>
      <c r="V231" s="275"/>
    </row>
    <row r="232" spans="20:22" ht="14.55" x14ac:dyDescent="0.3">
      <c r="T232" s="273"/>
      <c r="U232" s="274"/>
      <c r="V232" s="275"/>
    </row>
    <row r="233" spans="20:22" ht="14.55" x14ac:dyDescent="0.3">
      <c r="T233" s="273"/>
      <c r="U233" s="274"/>
      <c r="V233" s="275"/>
    </row>
    <row r="234" spans="20:22" ht="14.55" x14ac:dyDescent="0.3">
      <c r="T234" s="273"/>
      <c r="U234" s="274"/>
      <c r="V234" s="275"/>
    </row>
    <row r="235" spans="20:22" ht="14.55" x14ac:dyDescent="0.3">
      <c r="T235" s="273"/>
      <c r="U235" s="274"/>
      <c r="V235" s="275"/>
    </row>
    <row r="236" spans="20:22" ht="14.55" x14ac:dyDescent="0.3">
      <c r="T236" s="273"/>
      <c r="U236" s="274"/>
      <c r="V236" s="275"/>
    </row>
    <row r="237" spans="20:22" ht="14.55" x14ac:dyDescent="0.3">
      <c r="T237" s="273"/>
      <c r="U237" s="274"/>
      <c r="V237" s="275"/>
    </row>
    <row r="238" spans="20:22" ht="14.55" x14ac:dyDescent="0.3">
      <c r="T238" s="273"/>
      <c r="U238" s="274"/>
      <c r="V238" s="275"/>
    </row>
    <row r="239" spans="20:22" ht="14.55" x14ac:dyDescent="0.3">
      <c r="T239" s="273"/>
      <c r="U239" s="274"/>
      <c r="V239" s="275"/>
    </row>
    <row r="240" spans="20:22" ht="14.55" x14ac:dyDescent="0.3">
      <c r="T240" s="273"/>
      <c r="U240" s="274"/>
      <c r="V240" s="275"/>
    </row>
    <row r="241" spans="20:22" ht="14.55" x14ac:dyDescent="0.3">
      <c r="T241" s="273"/>
      <c r="U241" s="274"/>
      <c r="V241" s="275"/>
    </row>
    <row r="242" spans="20:22" ht="14.55" x14ac:dyDescent="0.3">
      <c r="T242" s="273"/>
      <c r="U242" s="274"/>
      <c r="V242" s="275"/>
    </row>
    <row r="243" spans="20:22" ht="14.55" x14ac:dyDescent="0.3">
      <c r="T243" s="273"/>
      <c r="U243" s="274"/>
      <c r="V243" s="275"/>
    </row>
    <row r="244" spans="20:22" ht="14.55" x14ac:dyDescent="0.3">
      <c r="T244" s="273"/>
      <c r="U244" s="274"/>
      <c r="V244" s="275"/>
    </row>
    <row r="245" spans="20:22" ht="14.55" x14ac:dyDescent="0.3">
      <c r="T245" s="273"/>
      <c r="U245" s="274"/>
      <c r="V245" s="275"/>
    </row>
    <row r="246" spans="20:22" ht="14.55" x14ac:dyDescent="0.3">
      <c r="T246" s="273"/>
      <c r="U246" s="274"/>
      <c r="V246" s="275"/>
    </row>
    <row r="247" spans="20:22" ht="14.55" x14ac:dyDescent="0.3">
      <c r="T247" s="273"/>
      <c r="U247" s="274"/>
      <c r="V247" s="275"/>
    </row>
    <row r="248" spans="20:22" ht="14.55" x14ac:dyDescent="0.3">
      <c r="T248" s="273"/>
      <c r="U248" s="274"/>
      <c r="V248" s="275"/>
    </row>
    <row r="249" spans="20:22" ht="14.55" x14ac:dyDescent="0.3">
      <c r="T249" s="273"/>
      <c r="U249" s="274"/>
      <c r="V249" s="275"/>
    </row>
    <row r="250" spans="20:22" ht="14.55" x14ac:dyDescent="0.3">
      <c r="T250" s="273"/>
      <c r="U250" s="274"/>
      <c r="V250" s="275"/>
    </row>
    <row r="251" spans="20:22" ht="14.55" x14ac:dyDescent="0.3">
      <c r="T251" s="273"/>
      <c r="U251" s="274"/>
      <c r="V251" s="275"/>
    </row>
    <row r="252" spans="20:22" ht="14.55" x14ac:dyDescent="0.3">
      <c r="T252" s="273"/>
      <c r="U252" s="274"/>
      <c r="V252" s="275"/>
    </row>
    <row r="253" spans="20:22" ht="14.55" x14ac:dyDescent="0.3">
      <c r="T253" s="273"/>
      <c r="U253" s="274"/>
      <c r="V253" s="275"/>
    </row>
    <row r="254" spans="20:22" ht="14.55" x14ac:dyDescent="0.3">
      <c r="T254" s="273"/>
      <c r="U254" s="274"/>
      <c r="V254" s="275"/>
    </row>
    <row r="255" spans="20:22" ht="14.55" x14ac:dyDescent="0.3">
      <c r="T255" s="273"/>
      <c r="U255" s="274"/>
      <c r="V255" s="275"/>
    </row>
    <row r="256" spans="20:22" ht="14.55" x14ac:dyDescent="0.3">
      <c r="T256" s="273"/>
      <c r="U256" s="274"/>
      <c r="V256" s="275"/>
    </row>
    <row r="257" spans="3:22" ht="14.55" x14ac:dyDescent="0.3">
      <c r="T257" s="273"/>
      <c r="U257" s="274"/>
      <c r="V257" s="275"/>
    </row>
    <row r="258" spans="3:22" ht="14.55" x14ac:dyDescent="0.3">
      <c r="T258" s="273"/>
      <c r="U258" s="274"/>
      <c r="V258" s="275"/>
    </row>
    <row r="259" spans="3:22" ht="14.55" x14ac:dyDescent="0.3">
      <c r="T259" s="273"/>
      <c r="U259" s="274"/>
      <c r="V259" s="275"/>
    </row>
    <row r="260" spans="3:22" ht="14.55" x14ac:dyDescent="0.3">
      <c r="T260" s="273"/>
      <c r="U260" s="274"/>
      <c r="V260" s="275"/>
    </row>
    <row r="261" spans="3:22" ht="14.55" x14ac:dyDescent="0.3">
      <c r="T261" s="273"/>
      <c r="U261" s="274"/>
      <c r="V261" s="275"/>
    </row>
    <row r="262" spans="3:22" ht="14.55" x14ac:dyDescent="0.3">
      <c r="T262" s="273"/>
      <c r="U262" s="274"/>
      <c r="V262" s="275"/>
    </row>
    <row r="263" spans="3:22" ht="14.55" x14ac:dyDescent="0.3">
      <c r="T263" s="273"/>
      <c r="U263" s="274"/>
      <c r="V263" s="275"/>
    </row>
    <row r="264" spans="3:22" ht="14.55" x14ac:dyDescent="0.3">
      <c r="T264" s="273"/>
      <c r="U264" s="274"/>
      <c r="V264" s="275"/>
    </row>
    <row r="265" spans="3:22" ht="14.55" x14ac:dyDescent="0.3">
      <c r="T265" s="273"/>
      <c r="U265" s="274"/>
      <c r="V265" s="275"/>
    </row>
    <row r="266" spans="3:22" ht="14.55" x14ac:dyDescent="0.3">
      <c r="C266" s="543" t="e">
        <f>'Berechnung - Raumakustik'!C106</f>
        <v>#REF!</v>
      </c>
      <c r="D266" s="543" t="e">
        <f>'Berechnung - Raumakustik'!D106</f>
        <v>#REF!</v>
      </c>
      <c r="E266" s="543" t="e">
        <f>'Berechnung - Raumakustik'!E106</f>
        <v>#REF!</v>
      </c>
      <c r="F266" s="543" t="e">
        <f>'Berechnung - Raumakustik'!F106</f>
        <v>#REF!</v>
      </c>
      <c r="G266" s="543" t="e">
        <f>'Berechnung - Raumakustik'!G106</f>
        <v>#REF!</v>
      </c>
      <c r="H266" s="543" t="e">
        <f>'Berechnung - Raumakustik'!H106</f>
        <v>#REF!</v>
      </c>
      <c r="I266" s="543">
        <f>'Berechnung - Raumakustik'!I106</f>
        <v>0</v>
      </c>
      <c r="J266" s="543">
        <f>'Berechnung - Raumakustik'!J106</f>
        <v>0</v>
      </c>
      <c r="K266" s="543">
        <f>'Berechnung - Raumakustik'!K106</f>
        <v>0</v>
      </c>
      <c r="L266" s="543">
        <f>'Berechnung - Raumakustik'!L106</f>
        <v>0</v>
      </c>
      <c r="M266" s="543" t="e">
        <f>'Berechnung - Raumakustik'!M106</f>
        <v>#REF!</v>
      </c>
      <c r="N266" s="543" t="e">
        <f>'Berechnung - Raumakustik'!N106</f>
        <v>#REF!</v>
      </c>
      <c r="O266" s="543">
        <f>'Berechnung - Raumakustik'!O106</f>
        <v>0</v>
      </c>
      <c r="P266" s="543">
        <f>'Berechnung - Raumakustik'!P106</f>
        <v>0</v>
      </c>
      <c r="T266" s="273"/>
      <c r="U266" s="274"/>
      <c r="V266" s="275"/>
    </row>
    <row r="267" spans="3:22" ht="14.55" x14ac:dyDescent="0.3">
      <c r="C267" s="543" t="e">
        <f>'Berechnung - Raumakustik'!C107</f>
        <v>#REF!</v>
      </c>
      <c r="D267" s="543" t="e">
        <f>'Berechnung - Raumakustik'!D107</f>
        <v>#REF!</v>
      </c>
      <c r="E267" s="543" t="e">
        <f>'Berechnung - Raumakustik'!E107</f>
        <v>#REF!</v>
      </c>
      <c r="F267" s="543" t="e">
        <f>'Berechnung - Raumakustik'!F107</f>
        <v>#REF!</v>
      </c>
      <c r="G267" s="543" t="e">
        <f>'Berechnung - Raumakustik'!G107</f>
        <v>#REF!</v>
      </c>
      <c r="H267" s="543" t="e">
        <f>'Berechnung - Raumakustik'!H107</f>
        <v>#REF!</v>
      </c>
      <c r="I267" s="543">
        <f>'Berechnung - Raumakustik'!I107</f>
        <v>0</v>
      </c>
      <c r="J267" s="543">
        <f>'Berechnung - Raumakustik'!J107</f>
        <v>0</v>
      </c>
      <c r="K267" s="543">
        <f>'Berechnung - Raumakustik'!K107</f>
        <v>0</v>
      </c>
      <c r="L267" s="543">
        <f>'Berechnung - Raumakustik'!L107</f>
        <v>0</v>
      </c>
      <c r="M267" s="543" t="e">
        <f>'Berechnung - Raumakustik'!M107</f>
        <v>#REF!</v>
      </c>
      <c r="N267" s="543" t="e">
        <f>'Berechnung - Raumakustik'!N107</f>
        <v>#REF!</v>
      </c>
      <c r="O267" s="543">
        <f>'Berechnung - Raumakustik'!O107</f>
        <v>0</v>
      </c>
      <c r="P267" s="543">
        <f>'Berechnung - Raumakustik'!P107</f>
        <v>0</v>
      </c>
      <c r="T267" s="273"/>
      <c r="U267" s="274"/>
      <c r="V267" s="275"/>
    </row>
    <row r="268" spans="3:22" ht="14.55" x14ac:dyDescent="0.3">
      <c r="C268" s="543" t="e">
        <f>'Berechnung - Raumakustik'!C108</f>
        <v>#REF!</v>
      </c>
      <c r="D268" s="543" t="e">
        <f>'Berechnung - Raumakustik'!D108</f>
        <v>#REF!</v>
      </c>
      <c r="E268" s="543" t="e">
        <f>'Berechnung - Raumakustik'!E108</f>
        <v>#REF!</v>
      </c>
      <c r="F268" s="543" t="e">
        <f>'Berechnung - Raumakustik'!F108</f>
        <v>#REF!</v>
      </c>
      <c r="G268" s="543" t="e">
        <f>'Berechnung - Raumakustik'!G108</f>
        <v>#REF!</v>
      </c>
      <c r="H268" s="543" t="e">
        <f>'Berechnung - Raumakustik'!H108</f>
        <v>#REF!</v>
      </c>
      <c r="I268" s="543">
        <f>'Berechnung - Raumakustik'!I108</f>
        <v>0</v>
      </c>
      <c r="J268" s="543">
        <f>'Berechnung - Raumakustik'!J108</f>
        <v>0</v>
      </c>
      <c r="K268" s="543">
        <f>'Berechnung - Raumakustik'!K108</f>
        <v>0</v>
      </c>
      <c r="L268" s="543">
        <f>'Berechnung - Raumakustik'!L108</f>
        <v>0</v>
      </c>
      <c r="M268" s="543" t="e">
        <f>'Berechnung - Raumakustik'!M108</f>
        <v>#REF!</v>
      </c>
      <c r="N268" s="543" t="e">
        <f>'Berechnung - Raumakustik'!N108</f>
        <v>#REF!</v>
      </c>
      <c r="O268" s="543">
        <f>'Berechnung - Raumakustik'!O108</f>
        <v>0</v>
      </c>
      <c r="P268" s="543">
        <f>'Berechnung - Raumakustik'!P108</f>
        <v>0</v>
      </c>
      <c r="T268" s="273"/>
      <c r="U268" s="274"/>
      <c r="V268" s="275"/>
    </row>
    <row r="269" spans="3:22" ht="14.55" x14ac:dyDescent="0.3">
      <c r="C269" s="543" t="e">
        <f>'Berechnung - Raumakustik'!C109</f>
        <v>#REF!</v>
      </c>
      <c r="D269" s="543" t="e">
        <f>'Berechnung - Raumakustik'!D109</f>
        <v>#REF!</v>
      </c>
      <c r="E269" s="543" t="e">
        <f>'Berechnung - Raumakustik'!E109</f>
        <v>#REF!</v>
      </c>
      <c r="F269" s="543" t="e">
        <f>'Berechnung - Raumakustik'!F109</f>
        <v>#REF!</v>
      </c>
      <c r="G269" s="543" t="e">
        <f>'Berechnung - Raumakustik'!G109</f>
        <v>#REF!</v>
      </c>
      <c r="H269" s="543" t="e">
        <f>'Berechnung - Raumakustik'!H109</f>
        <v>#REF!</v>
      </c>
      <c r="I269" s="543">
        <f>'Berechnung - Raumakustik'!I109</f>
        <v>0</v>
      </c>
      <c r="J269" s="543">
        <f>'Berechnung - Raumakustik'!J109</f>
        <v>0</v>
      </c>
      <c r="K269" s="543">
        <f>'Berechnung - Raumakustik'!K109</f>
        <v>0</v>
      </c>
      <c r="L269" s="543">
        <f>'Berechnung - Raumakustik'!L109</f>
        <v>0</v>
      </c>
      <c r="M269" s="543" t="e">
        <f>'Berechnung - Raumakustik'!M109</f>
        <v>#REF!</v>
      </c>
      <c r="N269" s="543" t="e">
        <f>'Berechnung - Raumakustik'!N109</f>
        <v>#REF!</v>
      </c>
      <c r="O269" s="543">
        <f>'Berechnung - Raumakustik'!O109</f>
        <v>0</v>
      </c>
      <c r="P269" s="543">
        <f>'Berechnung - Raumakustik'!P109</f>
        <v>0</v>
      </c>
      <c r="T269" s="273"/>
      <c r="U269" s="274"/>
      <c r="V269" s="275"/>
    </row>
    <row r="270" spans="3:22" ht="14.55" x14ac:dyDescent="0.3">
      <c r="C270" s="543" t="e">
        <f>'Berechnung - Raumakustik'!C110</f>
        <v>#REF!</v>
      </c>
      <c r="D270" s="543" t="e">
        <f>'Berechnung - Raumakustik'!D110</f>
        <v>#REF!</v>
      </c>
      <c r="E270" s="543" t="e">
        <f>'Berechnung - Raumakustik'!E110</f>
        <v>#REF!</v>
      </c>
      <c r="F270" s="543" t="e">
        <f>'Berechnung - Raumakustik'!F110</f>
        <v>#REF!</v>
      </c>
      <c r="G270" s="543" t="e">
        <f>'Berechnung - Raumakustik'!G110</f>
        <v>#REF!</v>
      </c>
      <c r="H270" s="543" t="e">
        <f>'Berechnung - Raumakustik'!H110</f>
        <v>#REF!</v>
      </c>
      <c r="I270" s="543">
        <f>'Berechnung - Raumakustik'!I110</f>
        <v>0</v>
      </c>
      <c r="J270" s="543">
        <f>'Berechnung - Raumakustik'!J110</f>
        <v>0</v>
      </c>
      <c r="K270" s="543">
        <f>'Berechnung - Raumakustik'!K110</f>
        <v>0</v>
      </c>
      <c r="L270" s="543">
        <f>'Berechnung - Raumakustik'!L110</f>
        <v>0</v>
      </c>
      <c r="M270" s="543" t="e">
        <f>'Berechnung - Raumakustik'!M110</f>
        <v>#REF!</v>
      </c>
      <c r="N270" s="543" t="e">
        <f>'Berechnung - Raumakustik'!N110</f>
        <v>#REF!</v>
      </c>
      <c r="O270" s="543">
        <f>'Berechnung - Raumakustik'!O110</f>
        <v>0</v>
      </c>
      <c r="P270" s="543">
        <f>'Berechnung - Raumakustik'!P110</f>
        <v>0</v>
      </c>
      <c r="T270" s="273"/>
      <c r="U270" s="274"/>
      <c r="V270" s="275"/>
    </row>
    <row r="271" spans="3:22" ht="14.55" x14ac:dyDescent="0.3">
      <c r="C271" s="543" t="e">
        <f>'Berechnung - Raumakustik'!C111</f>
        <v>#REF!</v>
      </c>
      <c r="D271" s="543" t="e">
        <f>'Berechnung - Raumakustik'!D111</f>
        <v>#REF!</v>
      </c>
      <c r="E271" s="543" t="e">
        <f>'Berechnung - Raumakustik'!E111</f>
        <v>#REF!</v>
      </c>
      <c r="F271" s="543" t="e">
        <f>'Berechnung - Raumakustik'!F111</f>
        <v>#REF!</v>
      </c>
      <c r="G271" s="543" t="e">
        <f>'Berechnung - Raumakustik'!G111</f>
        <v>#REF!</v>
      </c>
      <c r="H271" s="543" t="e">
        <f>'Berechnung - Raumakustik'!H111</f>
        <v>#REF!</v>
      </c>
      <c r="I271" s="543">
        <f>'Berechnung - Raumakustik'!I111</f>
        <v>0</v>
      </c>
      <c r="J271" s="543">
        <f>'Berechnung - Raumakustik'!J111</f>
        <v>0</v>
      </c>
      <c r="K271" s="543">
        <f>'Berechnung - Raumakustik'!K111</f>
        <v>0</v>
      </c>
      <c r="L271" s="543">
        <f>'Berechnung - Raumakustik'!L111</f>
        <v>0</v>
      </c>
      <c r="M271" s="543" t="e">
        <f>'Berechnung - Raumakustik'!M111</f>
        <v>#REF!</v>
      </c>
      <c r="N271" s="543" t="e">
        <f>'Berechnung - Raumakustik'!N111</f>
        <v>#REF!</v>
      </c>
      <c r="O271" s="543">
        <f>'Berechnung - Raumakustik'!O111</f>
        <v>0</v>
      </c>
      <c r="P271" s="543">
        <f>'Berechnung - Raumakustik'!P111</f>
        <v>0</v>
      </c>
      <c r="T271" s="273"/>
      <c r="U271" s="274"/>
      <c r="V271" s="275"/>
    </row>
    <row r="272" spans="3:22" ht="14.55" x14ac:dyDescent="0.3">
      <c r="C272" s="543" t="e">
        <f>'Berechnung - Raumakustik'!C112</f>
        <v>#REF!</v>
      </c>
      <c r="D272" s="543" t="e">
        <f>'Berechnung - Raumakustik'!D112</f>
        <v>#REF!</v>
      </c>
      <c r="E272" s="543" t="e">
        <f>'Berechnung - Raumakustik'!E112</f>
        <v>#REF!</v>
      </c>
      <c r="F272" s="543" t="e">
        <f>'Berechnung - Raumakustik'!F112</f>
        <v>#REF!</v>
      </c>
      <c r="G272" s="543" t="e">
        <f>'Berechnung - Raumakustik'!G112</f>
        <v>#REF!</v>
      </c>
      <c r="H272" s="543" t="e">
        <f>'Berechnung - Raumakustik'!H112</f>
        <v>#REF!</v>
      </c>
      <c r="I272" s="543">
        <f>'Berechnung - Raumakustik'!I112</f>
        <v>0</v>
      </c>
      <c r="J272" s="543">
        <f>'Berechnung - Raumakustik'!J112</f>
        <v>0</v>
      </c>
      <c r="K272" s="543">
        <f>'Berechnung - Raumakustik'!K112</f>
        <v>0</v>
      </c>
      <c r="L272" s="543">
        <f>'Berechnung - Raumakustik'!L112</f>
        <v>0</v>
      </c>
      <c r="M272" s="543" t="e">
        <f>'Berechnung - Raumakustik'!M112</f>
        <v>#REF!</v>
      </c>
      <c r="N272" s="543" t="e">
        <f>'Berechnung - Raumakustik'!N112</f>
        <v>#REF!</v>
      </c>
      <c r="O272" s="543">
        <f>'Berechnung - Raumakustik'!O112</f>
        <v>0</v>
      </c>
      <c r="P272" s="543">
        <f>'Berechnung - Raumakustik'!P112</f>
        <v>0</v>
      </c>
      <c r="T272" s="273"/>
      <c r="U272" s="274"/>
      <c r="V272" s="275"/>
    </row>
    <row r="273" spans="3:22" ht="14.55" x14ac:dyDescent="0.3">
      <c r="C273" s="543" t="e">
        <f>'Berechnung - Raumakustik'!C113</f>
        <v>#REF!</v>
      </c>
      <c r="D273" s="543" t="e">
        <f>'Berechnung - Raumakustik'!D113</f>
        <v>#REF!</v>
      </c>
      <c r="E273" s="543" t="e">
        <f>'Berechnung - Raumakustik'!E113</f>
        <v>#REF!</v>
      </c>
      <c r="F273" s="543" t="e">
        <f>'Berechnung - Raumakustik'!F113</f>
        <v>#REF!</v>
      </c>
      <c r="G273" s="543" t="e">
        <f>'Berechnung - Raumakustik'!G113</f>
        <v>#REF!</v>
      </c>
      <c r="H273" s="543" t="e">
        <f>'Berechnung - Raumakustik'!H113</f>
        <v>#REF!</v>
      </c>
      <c r="I273" s="543">
        <f>'Berechnung - Raumakustik'!I113</f>
        <v>0</v>
      </c>
      <c r="J273" s="543">
        <f>'Berechnung - Raumakustik'!J113</f>
        <v>0</v>
      </c>
      <c r="K273" s="543">
        <f>'Berechnung - Raumakustik'!K113</f>
        <v>0</v>
      </c>
      <c r="L273" s="543">
        <f>'Berechnung - Raumakustik'!L113</f>
        <v>0</v>
      </c>
      <c r="M273" s="543" t="e">
        <f>'Berechnung - Raumakustik'!M113</f>
        <v>#REF!</v>
      </c>
      <c r="N273" s="543" t="e">
        <f>'Berechnung - Raumakustik'!N113</f>
        <v>#REF!</v>
      </c>
      <c r="O273" s="543">
        <f>'Berechnung - Raumakustik'!O113</f>
        <v>0</v>
      </c>
      <c r="P273" s="543">
        <f>'Berechnung - Raumakustik'!P113</f>
        <v>0</v>
      </c>
      <c r="T273" s="273"/>
      <c r="U273" s="274"/>
      <c r="V273" s="275"/>
    </row>
    <row r="274" spans="3:22" ht="14.55" x14ac:dyDescent="0.3">
      <c r="T274" s="273"/>
      <c r="U274" s="274"/>
      <c r="V274" s="275"/>
    </row>
    <row r="275" spans="3:22" ht="14.55" x14ac:dyDescent="0.3">
      <c r="T275" s="273"/>
      <c r="U275" s="274"/>
      <c r="V275" s="275"/>
    </row>
    <row r="276" spans="3:22" ht="14.55" x14ac:dyDescent="0.3">
      <c r="T276" s="273"/>
      <c r="U276" s="274"/>
      <c r="V276" s="275"/>
    </row>
    <row r="277" spans="3:22" ht="14.55" x14ac:dyDescent="0.3">
      <c r="T277" s="273"/>
      <c r="U277" s="274"/>
      <c r="V277" s="275"/>
    </row>
    <row r="278" spans="3:22" ht="14.55" x14ac:dyDescent="0.3">
      <c r="T278" s="273"/>
      <c r="U278" s="274"/>
      <c r="V278" s="275"/>
    </row>
    <row r="279" spans="3:22" ht="14.55" x14ac:dyDescent="0.3">
      <c r="T279" s="273"/>
      <c r="U279" s="274"/>
      <c r="V279" s="275"/>
    </row>
    <row r="280" spans="3:22" ht="14.55" x14ac:dyDescent="0.3">
      <c r="T280" s="273"/>
      <c r="U280" s="274"/>
      <c r="V280" s="275"/>
    </row>
    <row r="281" spans="3:22" ht="14.55" x14ac:dyDescent="0.3">
      <c r="T281" s="273"/>
      <c r="U281" s="274"/>
      <c r="V281" s="275"/>
    </row>
    <row r="282" spans="3:22" ht="14.55" x14ac:dyDescent="0.3">
      <c r="T282" s="273"/>
      <c r="U282" s="274"/>
      <c r="V282" s="275"/>
    </row>
    <row r="283" spans="3:22" ht="14.55" x14ac:dyDescent="0.3">
      <c r="T283" s="273"/>
      <c r="U283" s="274"/>
      <c r="V283" s="275"/>
    </row>
    <row r="284" spans="3:22" ht="14.55" x14ac:dyDescent="0.3">
      <c r="T284" s="273"/>
      <c r="U284" s="274"/>
      <c r="V284" s="275"/>
    </row>
    <row r="285" spans="3:22" ht="14.55" x14ac:dyDescent="0.3">
      <c r="T285" s="273"/>
      <c r="U285" s="274"/>
      <c r="V285" s="275"/>
    </row>
    <row r="286" spans="3:22" ht="14.55" x14ac:dyDescent="0.3">
      <c r="T286" s="273"/>
      <c r="U286" s="274"/>
      <c r="V286" s="275"/>
    </row>
    <row r="287" spans="3:22" ht="14.55" x14ac:dyDescent="0.3">
      <c r="T287" s="273"/>
      <c r="U287" s="274"/>
      <c r="V287" s="275"/>
    </row>
    <row r="288" spans="3:22" ht="14.55" x14ac:dyDescent="0.3">
      <c r="T288" s="273"/>
      <c r="U288" s="274"/>
      <c r="V288" s="275"/>
    </row>
    <row r="289" spans="20:22" ht="14.55" x14ac:dyDescent="0.3">
      <c r="T289" s="273"/>
      <c r="U289" s="274"/>
      <c r="V289" s="275"/>
    </row>
    <row r="290" spans="20:22" ht="14.55" x14ac:dyDescent="0.3">
      <c r="T290" s="273"/>
      <c r="U290" s="274"/>
      <c r="V290" s="275"/>
    </row>
    <row r="291" spans="20:22" ht="14.55" x14ac:dyDescent="0.3">
      <c r="T291" s="273"/>
      <c r="U291" s="274"/>
      <c r="V291" s="275"/>
    </row>
    <row r="292" spans="20:22" ht="14.55" x14ac:dyDescent="0.3">
      <c r="T292" s="273"/>
      <c r="U292" s="274"/>
      <c r="V292" s="275"/>
    </row>
    <row r="293" spans="20:22" ht="14.55" x14ac:dyDescent="0.3">
      <c r="T293" s="273"/>
      <c r="U293" s="274"/>
      <c r="V293" s="275"/>
    </row>
    <row r="294" spans="20:22" ht="14.55" x14ac:dyDescent="0.3">
      <c r="T294" s="273"/>
      <c r="U294" s="274"/>
      <c r="V294" s="275"/>
    </row>
    <row r="295" spans="20:22" ht="14.55" x14ac:dyDescent="0.3">
      <c r="T295" s="273"/>
      <c r="U295" s="274"/>
      <c r="V295" s="275"/>
    </row>
    <row r="296" spans="20:22" ht="14.55" x14ac:dyDescent="0.3">
      <c r="T296" s="273"/>
      <c r="U296" s="274"/>
      <c r="V296" s="275"/>
    </row>
    <row r="297" spans="20:22" ht="14.55" x14ac:dyDescent="0.3">
      <c r="T297" s="273"/>
      <c r="U297" s="274"/>
      <c r="V297" s="275"/>
    </row>
    <row r="298" spans="20:22" ht="14.55" x14ac:dyDescent="0.3">
      <c r="T298" s="273"/>
      <c r="U298" s="274"/>
      <c r="V298" s="275"/>
    </row>
    <row r="299" spans="20:22" ht="14.55" x14ac:dyDescent="0.3">
      <c r="T299" s="273"/>
      <c r="U299" s="274"/>
      <c r="V299" s="275"/>
    </row>
    <row r="300" spans="20:22" ht="14.55" x14ac:dyDescent="0.3">
      <c r="T300" s="273"/>
      <c r="U300" s="274"/>
      <c r="V300" s="275"/>
    </row>
    <row r="301" spans="20:22" ht="14.55" x14ac:dyDescent="0.3">
      <c r="T301" s="273"/>
      <c r="U301" s="274"/>
      <c r="V301" s="275"/>
    </row>
    <row r="302" spans="20:22" ht="14.55" x14ac:dyDescent="0.3">
      <c r="T302" s="273"/>
      <c r="U302" s="274"/>
      <c r="V302" s="275"/>
    </row>
    <row r="303" spans="20:22" ht="14.55" x14ac:dyDescent="0.3">
      <c r="T303" s="273"/>
      <c r="U303" s="274"/>
      <c r="V303" s="275"/>
    </row>
    <row r="304" spans="20:22" ht="14.55" x14ac:dyDescent="0.3">
      <c r="T304" s="273"/>
      <c r="U304" s="274"/>
      <c r="V304" s="275"/>
    </row>
    <row r="305" spans="20:22" ht="14.55" x14ac:dyDescent="0.3">
      <c r="T305" s="273"/>
      <c r="U305" s="274"/>
      <c r="V305" s="275"/>
    </row>
    <row r="306" spans="20:22" ht="14.55" x14ac:dyDescent="0.3">
      <c r="T306" s="273"/>
      <c r="U306" s="274"/>
      <c r="V306" s="275"/>
    </row>
    <row r="307" spans="20:22" ht="14.55" x14ac:dyDescent="0.3">
      <c r="T307" s="273"/>
      <c r="U307" s="274"/>
      <c r="V307" s="275"/>
    </row>
    <row r="308" spans="20:22" ht="14.55" x14ac:dyDescent="0.3">
      <c r="T308" s="273"/>
      <c r="U308" s="274"/>
      <c r="V308" s="275"/>
    </row>
    <row r="309" spans="20:22" ht="14.55" x14ac:dyDescent="0.3">
      <c r="T309" s="273"/>
      <c r="U309" s="274"/>
      <c r="V309" s="275"/>
    </row>
    <row r="310" spans="20:22" ht="14.55" x14ac:dyDescent="0.3">
      <c r="T310" s="273"/>
      <c r="U310" s="274"/>
      <c r="V310" s="275"/>
    </row>
    <row r="311" spans="20:22" ht="14.55" x14ac:dyDescent="0.3">
      <c r="T311" s="273"/>
      <c r="U311" s="274"/>
      <c r="V311" s="275"/>
    </row>
    <row r="312" spans="20:22" ht="14.55" x14ac:dyDescent="0.3">
      <c r="T312" s="273"/>
      <c r="U312" s="274"/>
      <c r="V312" s="275"/>
    </row>
    <row r="313" spans="20:22" ht="14.55" x14ac:dyDescent="0.3">
      <c r="T313" s="273"/>
      <c r="U313" s="274"/>
      <c r="V313" s="275"/>
    </row>
    <row r="314" spans="20:22" ht="14.55" x14ac:dyDescent="0.3">
      <c r="T314" s="273"/>
      <c r="U314" s="274"/>
      <c r="V314" s="275"/>
    </row>
    <row r="315" spans="20:22" ht="14.55" x14ac:dyDescent="0.3">
      <c r="T315" s="273"/>
      <c r="U315" s="274"/>
      <c r="V315" s="275"/>
    </row>
    <row r="316" spans="20:22" ht="14.55" x14ac:dyDescent="0.3">
      <c r="T316" s="273"/>
      <c r="U316" s="274"/>
      <c r="V316" s="275"/>
    </row>
    <row r="317" spans="20:22" ht="14.55" x14ac:dyDescent="0.3">
      <c r="T317" s="273"/>
      <c r="U317" s="274"/>
      <c r="V317" s="275"/>
    </row>
    <row r="318" spans="20:22" ht="14.55" x14ac:dyDescent="0.3">
      <c r="T318" s="273"/>
      <c r="U318" s="274"/>
      <c r="V318" s="275"/>
    </row>
    <row r="319" spans="20:22" ht="14.55" x14ac:dyDescent="0.3">
      <c r="T319" s="273"/>
      <c r="U319" s="274"/>
      <c r="V319" s="275"/>
    </row>
    <row r="320" spans="20:22" ht="14.55" x14ac:dyDescent="0.3">
      <c r="T320" s="273"/>
      <c r="U320" s="274"/>
      <c r="V320" s="275"/>
    </row>
    <row r="321" spans="20:22" ht="14.55" x14ac:dyDescent="0.3">
      <c r="T321" s="273"/>
      <c r="U321" s="274"/>
      <c r="V321" s="275"/>
    </row>
    <row r="322" spans="20:22" ht="14.55" x14ac:dyDescent="0.3">
      <c r="T322" s="273"/>
      <c r="U322" s="274"/>
      <c r="V322" s="275"/>
    </row>
    <row r="323" spans="20:22" ht="14.55" x14ac:dyDescent="0.3">
      <c r="T323" s="273"/>
      <c r="U323" s="274"/>
      <c r="V323" s="275"/>
    </row>
    <row r="324" spans="20:22" ht="14.55" x14ac:dyDescent="0.3">
      <c r="T324" s="273"/>
      <c r="U324" s="274"/>
      <c r="V324" s="275"/>
    </row>
    <row r="325" spans="20:22" ht="14.55" x14ac:dyDescent="0.3">
      <c r="T325" s="273"/>
      <c r="U325" s="274"/>
      <c r="V325" s="275"/>
    </row>
    <row r="326" spans="20:22" ht="14.55" x14ac:dyDescent="0.3">
      <c r="T326" s="273"/>
      <c r="U326" s="274"/>
      <c r="V326" s="275"/>
    </row>
    <row r="327" spans="20:22" ht="14.55" x14ac:dyDescent="0.3">
      <c r="T327" s="273"/>
      <c r="U327" s="274"/>
      <c r="V327" s="275"/>
    </row>
    <row r="328" spans="20:22" ht="14.55" x14ac:dyDescent="0.3">
      <c r="T328" s="273"/>
      <c r="U328" s="274"/>
      <c r="V328" s="275"/>
    </row>
    <row r="329" spans="20:22" ht="14.55" x14ac:dyDescent="0.3">
      <c r="T329" s="273"/>
      <c r="U329" s="274"/>
      <c r="V329" s="275"/>
    </row>
    <row r="330" spans="20:22" ht="14.55" x14ac:dyDescent="0.3">
      <c r="T330" s="273"/>
      <c r="U330" s="274"/>
      <c r="V330" s="275"/>
    </row>
    <row r="331" spans="20:22" ht="14.55" x14ac:dyDescent="0.3">
      <c r="T331" s="273"/>
      <c r="U331" s="274"/>
      <c r="V331" s="275"/>
    </row>
    <row r="332" spans="20:22" ht="14.55" x14ac:dyDescent="0.3">
      <c r="T332" s="273"/>
      <c r="U332" s="274"/>
      <c r="V332" s="275"/>
    </row>
    <row r="333" spans="20:22" ht="14.55" x14ac:dyDescent="0.3">
      <c r="T333" s="273"/>
      <c r="U333" s="274"/>
      <c r="V333" s="275"/>
    </row>
    <row r="334" spans="20:22" ht="14.55" x14ac:dyDescent="0.3">
      <c r="T334" s="273"/>
      <c r="U334" s="274"/>
      <c r="V334" s="275"/>
    </row>
    <row r="335" spans="20:22" ht="14.55" x14ac:dyDescent="0.3">
      <c r="T335" s="273"/>
      <c r="U335" s="274"/>
      <c r="V335" s="275"/>
    </row>
    <row r="336" spans="20:22" ht="14.55" x14ac:dyDescent="0.3">
      <c r="T336" s="273"/>
      <c r="U336" s="274"/>
      <c r="V336" s="275"/>
    </row>
    <row r="337" spans="20:22" ht="14.55" x14ac:dyDescent="0.3">
      <c r="T337" s="273"/>
      <c r="U337" s="274"/>
      <c r="V337" s="275"/>
    </row>
    <row r="338" spans="20:22" ht="14.55" x14ac:dyDescent="0.3">
      <c r="T338" s="273"/>
      <c r="U338" s="274"/>
      <c r="V338" s="275"/>
    </row>
    <row r="339" spans="20:22" ht="14.55" x14ac:dyDescent="0.3">
      <c r="T339" s="273"/>
      <c r="U339" s="274"/>
      <c r="V339" s="275"/>
    </row>
    <row r="340" spans="20:22" ht="14.55" x14ac:dyDescent="0.3">
      <c r="T340" s="273"/>
      <c r="U340" s="274"/>
      <c r="V340" s="275"/>
    </row>
    <row r="341" spans="20:22" ht="14.55" x14ac:dyDescent="0.3">
      <c r="T341" s="273"/>
      <c r="U341" s="274"/>
      <c r="V341" s="275"/>
    </row>
    <row r="342" spans="20:22" ht="14.55" x14ac:dyDescent="0.3">
      <c r="T342" s="273"/>
      <c r="U342" s="274"/>
      <c r="V342" s="275"/>
    </row>
    <row r="343" spans="20:22" ht="14.55" x14ac:dyDescent="0.3">
      <c r="T343" s="273"/>
      <c r="U343" s="274"/>
      <c r="V343" s="275"/>
    </row>
    <row r="344" spans="20:22" ht="14.55" x14ac:dyDescent="0.3">
      <c r="T344" s="273"/>
      <c r="U344" s="274"/>
      <c r="V344" s="275"/>
    </row>
    <row r="345" spans="20:22" ht="14.55" x14ac:dyDescent="0.3">
      <c r="T345" s="273"/>
      <c r="U345" s="274"/>
      <c r="V345" s="275"/>
    </row>
    <row r="346" spans="20:22" ht="14.55" x14ac:dyDescent="0.3">
      <c r="T346" s="273"/>
      <c r="U346" s="274"/>
      <c r="V346" s="275"/>
    </row>
    <row r="347" spans="20:22" ht="14.55" x14ac:dyDescent="0.3">
      <c r="T347" s="273"/>
      <c r="U347" s="274"/>
      <c r="V347" s="275"/>
    </row>
    <row r="348" spans="20:22" ht="14.55" x14ac:dyDescent="0.3">
      <c r="T348" s="273"/>
      <c r="U348" s="274"/>
      <c r="V348" s="275"/>
    </row>
    <row r="349" spans="20:22" ht="14.55" x14ac:dyDescent="0.3">
      <c r="T349" s="273"/>
      <c r="U349" s="274"/>
      <c r="V349" s="275"/>
    </row>
    <row r="350" spans="20:22" ht="14.55" x14ac:dyDescent="0.3">
      <c r="T350" s="273"/>
      <c r="U350" s="274"/>
      <c r="V350" s="275"/>
    </row>
    <row r="351" spans="20:22" ht="14.55" x14ac:dyDescent="0.3">
      <c r="T351" s="273"/>
      <c r="U351" s="274"/>
      <c r="V351" s="275"/>
    </row>
    <row r="352" spans="20:22" ht="14.55" x14ac:dyDescent="0.3">
      <c r="T352" s="273"/>
      <c r="U352" s="274"/>
      <c r="V352" s="275"/>
    </row>
    <row r="353" spans="20:22" ht="14.55" x14ac:dyDescent="0.3">
      <c r="T353" s="273"/>
      <c r="U353" s="274"/>
      <c r="V353" s="275"/>
    </row>
    <row r="354" spans="20:22" ht="14.55" x14ac:dyDescent="0.3">
      <c r="T354" s="273"/>
      <c r="U354" s="274"/>
      <c r="V354" s="275"/>
    </row>
    <row r="355" spans="20:22" ht="14.55" x14ac:dyDescent="0.3">
      <c r="T355" s="273"/>
      <c r="U355" s="274"/>
      <c r="V355" s="275"/>
    </row>
    <row r="356" spans="20:22" ht="14.55" x14ac:dyDescent="0.3">
      <c r="T356" s="273"/>
      <c r="U356" s="274"/>
      <c r="V356" s="275"/>
    </row>
    <row r="357" spans="20:22" ht="14.55" x14ac:dyDescent="0.3">
      <c r="T357" s="273"/>
      <c r="U357" s="274"/>
      <c r="V357" s="275"/>
    </row>
    <row r="358" spans="20:22" ht="14.55" x14ac:dyDescent="0.3">
      <c r="T358" s="273"/>
      <c r="U358" s="274"/>
      <c r="V358" s="275"/>
    </row>
    <row r="359" spans="20:22" ht="14.55" x14ac:dyDescent="0.3">
      <c r="T359" s="273"/>
      <c r="U359" s="274"/>
      <c r="V359" s="275"/>
    </row>
    <row r="360" spans="20:22" ht="14.55" x14ac:dyDescent="0.3">
      <c r="T360" s="273"/>
      <c r="U360" s="274"/>
      <c r="V360" s="275"/>
    </row>
    <row r="361" spans="20:22" ht="14.55" x14ac:dyDescent="0.3">
      <c r="T361" s="273"/>
      <c r="U361" s="274"/>
      <c r="V361" s="275"/>
    </row>
    <row r="362" spans="20:22" ht="14.55" x14ac:dyDescent="0.3">
      <c r="T362" s="273"/>
      <c r="U362" s="274"/>
      <c r="V362" s="275"/>
    </row>
    <row r="363" spans="20:22" ht="14.55" x14ac:dyDescent="0.3">
      <c r="T363" s="273"/>
      <c r="U363" s="274"/>
      <c r="V363" s="275"/>
    </row>
    <row r="364" spans="20:22" ht="14.55" x14ac:dyDescent="0.3">
      <c r="T364" s="273"/>
      <c r="U364" s="274"/>
      <c r="V364" s="275"/>
    </row>
    <row r="365" spans="20:22" ht="14.55" x14ac:dyDescent="0.3">
      <c r="T365" s="273"/>
      <c r="U365" s="274"/>
      <c r="V365" s="275"/>
    </row>
    <row r="366" spans="20:22" ht="14.55" x14ac:dyDescent="0.3">
      <c r="T366" s="273"/>
      <c r="U366" s="274"/>
      <c r="V366" s="275"/>
    </row>
    <row r="367" spans="20:22" ht="14.55" x14ac:dyDescent="0.3">
      <c r="T367" s="273"/>
      <c r="U367" s="274"/>
      <c r="V367" s="275"/>
    </row>
    <row r="368" spans="20:22" ht="14.55" x14ac:dyDescent="0.3">
      <c r="T368" s="273"/>
      <c r="U368" s="274"/>
      <c r="V368" s="275"/>
    </row>
    <row r="369" spans="20:22" ht="14.55" x14ac:dyDescent="0.3">
      <c r="T369" s="273"/>
      <c r="U369" s="274"/>
      <c r="V369" s="275"/>
    </row>
    <row r="370" spans="20:22" ht="14.55" x14ac:dyDescent="0.3">
      <c r="T370" s="273"/>
      <c r="U370" s="274"/>
      <c r="V370" s="275"/>
    </row>
    <row r="371" spans="20:22" ht="14.55" x14ac:dyDescent="0.3">
      <c r="T371" s="273"/>
      <c r="U371" s="274"/>
      <c r="V371" s="275"/>
    </row>
    <row r="372" spans="20:22" ht="14.55" x14ac:dyDescent="0.3">
      <c r="T372" s="273"/>
      <c r="U372" s="274"/>
      <c r="V372" s="275"/>
    </row>
    <row r="373" spans="20:22" ht="14.55" x14ac:dyDescent="0.3">
      <c r="T373" s="273"/>
      <c r="U373" s="274"/>
      <c r="V373" s="275"/>
    </row>
    <row r="374" spans="20:22" ht="14.55" x14ac:dyDescent="0.3">
      <c r="T374" s="273"/>
      <c r="U374" s="274"/>
      <c r="V374" s="275"/>
    </row>
    <row r="375" spans="20:22" ht="14.55" x14ac:dyDescent="0.3">
      <c r="T375" s="273"/>
      <c r="U375" s="274"/>
      <c r="V375" s="275"/>
    </row>
    <row r="376" spans="20:22" ht="14.55" x14ac:dyDescent="0.3">
      <c r="T376" s="273"/>
      <c r="U376" s="274"/>
      <c r="V376" s="275"/>
    </row>
    <row r="377" spans="20:22" ht="14.55" x14ac:dyDescent="0.3">
      <c r="T377" s="273"/>
      <c r="U377" s="274"/>
      <c r="V377" s="275"/>
    </row>
    <row r="378" spans="20:22" ht="14.55" x14ac:dyDescent="0.3">
      <c r="T378" s="273"/>
      <c r="U378" s="274"/>
      <c r="V378" s="275"/>
    </row>
    <row r="379" spans="20:22" ht="14.55" x14ac:dyDescent="0.3">
      <c r="T379" s="273"/>
      <c r="U379" s="274"/>
      <c r="V379" s="275"/>
    </row>
    <row r="380" spans="20:22" ht="14.55" x14ac:dyDescent="0.3">
      <c r="T380" s="273"/>
      <c r="U380" s="274"/>
      <c r="V380" s="275"/>
    </row>
    <row r="381" spans="20:22" ht="14.55" x14ac:dyDescent="0.3">
      <c r="T381" s="273"/>
      <c r="U381" s="274"/>
      <c r="V381" s="275"/>
    </row>
    <row r="382" spans="20:22" ht="14.55" x14ac:dyDescent="0.3">
      <c r="T382" s="273"/>
      <c r="U382" s="274"/>
      <c r="V382" s="275"/>
    </row>
    <row r="383" spans="20:22" ht="14.55" x14ac:dyDescent="0.3">
      <c r="T383" s="273"/>
      <c r="U383" s="274"/>
      <c r="V383" s="275"/>
    </row>
    <row r="384" spans="20:22" ht="14.55" x14ac:dyDescent="0.3">
      <c r="T384" s="273"/>
      <c r="U384" s="274"/>
      <c r="V384" s="275"/>
    </row>
    <row r="385" spans="20:22" ht="14.55" x14ac:dyDescent="0.3">
      <c r="T385" s="273"/>
      <c r="U385" s="274"/>
      <c r="V385" s="275"/>
    </row>
    <row r="386" spans="20:22" ht="14.55" x14ac:dyDescent="0.3">
      <c r="T386" s="273"/>
      <c r="U386" s="274"/>
      <c r="V386" s="275"/>
    </row>
    <row r="387" spans="20:22" ht="14.55" x14ac:dyDescent="0.3">
      <c r="T387" s="273"/>
      <c r="U387" s="274"/>
      <c r="V387" s="275"/>
    </row>
    <row r="388" spans="20:22" ht="14.55" x14ac:dyDescent="0.3">
      <c r="T388" s="273"/>
      <c r="U388" s="274"/>
      <c r="V388" s="275"/>
    </row>
    <row r="389" spans="20:22" ht="14.55" x14ac:dyDescent="0.3">
      <c r="T389" s="273"/>
      <c r="U389" s="274"/>
      <c r="V389" s="275"/>
    </row>
    <row r="390" spans="20:22" ht="14.55" x14ac:dyDescent="0.3">
      <c r="T390" s="273"/>
      <c r="U390" s="274"/>
      <c r="V390" s="275"/>
    </row>
    <row r="391" spans="20:22" ht="14.55" x14ac:dyDescent="0.3">
      <c r="T391" s="273"/>
      <c r="U391" s="274"/>
      <c r="V391" s="275"/>
    </row>
    <row r="392" spans="20:22" ht="14.55" x14ac:dyDescent="0.3">
      <c r="T392" s="273"/>
      <c r="U392" s="274"/>
      <c r="V392" s="275"/>
    </row>
    <row r="393" spans="20:22" ht="14.55" x14ac:dyDescent="0.3">
      <c r="T393" s="273"/>
      <c r="U393" s="274"/>
      <c r="V393" s="275"/>
    </row>
    <row r="394" spans="20:22" ht="14.55" x14ac:dyDescent="0.3">
      <c r="T394" s="273"/>
      <c r="U394" s="274"/>
      <c r="V394" s="275"/>
    </row>
    <row r="395" spans="20:22" ht="14.55" x14ac:dyDescent="0.3">
      <c r="T395" s="273"/>
      <c r="U395" s="274"/>
      <c r="V395" s="275"/>
    </row>
    <row r="396" spans="20:22" ht="14.55" x14ac:dyDescent="0.3">
      <c r="T396" s="273"/>
      <c r="U396" s="274"/>
      <c r="V396" s="275"/>
    </row>
    <row r="397" spans="20:22" ht="14.55" x14ac:dyDescent="0.3">
      <c r="T397" s="273"/>
      <c r="U397" s="274"/>
      <c r="V397" s="275"/>
    </row>
    <row r="398" spans="20:22" ht="14.55" x14ac:dyDescent="0.3">
      <c r="T398" s="273"/>
      <c r="U398" s="274"/>
      <c r="V398" s="275"/>
    </row>
    <row r="399" spans="20:22" ht="14.55" x14ac:dyDescent="0.3">
      <c r="T399" s="273"/>
      <c r="U399" s="274"/>
      <c r="V399" s="275"/>
    </row>
    <row r="400" spans="20:22" ht="14.55" x14ac:dyDescent="0.3">
      <c r="T400" s="273"/>
      <c r="U400" s="274"/>
      <c r="V400" s="275"/>
    </row>
    <row r="401" spans="20:22" ht="14.55" x14ac:dyDescent="0.3">
      <c r="T401" s="273"/>
      <c r="U401" s="274"/>
      <c r="V401" s="275"/>
    </row>
    <row r="402" spans="20:22" ht="14.55" x14ac:dyDescent="0.3">
      <c r="T402" s="273"/>
      <c r="U402" s="274"/>
      <c r="V402" s="275"/>
    </row>
    <row r="403" spans="20:22" ht="14.55" x14ac:dyDescent="0.3">
      <c r="T403" s="273"/>
      <c r="U403" s="274"/>
      <c r="V403" s="275"/>
    </row>
    <row r="404" spans="20:22" ht="14.55" x14ac:dyDescent="0.3">
      <c r="T404" s="273"/>
      <c r="U404" s="274"/>
      <c r="V404" s="275"/>
    </row>
    <row r="405" spans="20:22" ht="14.55" x14ac:dyDescent="0.3">
      <c r="T405" s="273"/>
      <c r="U405" s="274"/>
      <c r="V405" s="275"/>
    </row>
    <row r="406" spans="20:22" ht="14.55" x14ac:dyDescent="0.3">
      <c r="T406" s="273"/>
      <c r="U406" s="274"/>
      <c r="V406" s="275"/>
    </row>
    <row r="407" spans="20:22" ht="14.55" x14ac:dyDescent="0.3">
      <c r="T407" s="273"/>
      <c r="U407" s="274"/>
      <c r="V407" s="275"/>
    </row>
    <row r="408" spans="20:22" ht="14.55" x14ac:dyDescent="0.3">
      <c r="T408" s="273"/>
      <c r="U408" s="274"/>
      <c r="V408" s="275"/>
    </row>
    <row r="409" spans="20:22" ht="14.55" x14ac:dyDescent="0.3">
      <c r="T409" s="273"/>
      <c r="U409" s="274"/>
      <c r="V409" s="275"/>
    </row>
    <row r="410" spans="20:22" ht="14.55" x14ac:dyDescent="0.3">
      <c r="T410" s="273"/>
      <c r="U410" s="274"/>
      <c r="V410" s="275"/>
    </row>
    <row r="411" spans="20:22" ht="14.55" x14ac:dyDescent="0.3">
      <c r="T411" s="273"/>
      <c r="U411" s="274"/>
      <c r="V411" s="275"/>
    </row>
    <row r="412" spans="20:22" ht="14.55" x14ac:dyDescent="0.3">
      <c r="T412" s="273"/>
      <c r="U412" s="274"/>
      <c r="V412" s="275"/>
    </row>
    <row r="413" spans="20:22" ht="14.55" x14ac:dyDescent="0.3">
      <c r="T413" s="273"/>
      <c r="U413" s="274"/>
      <c r="V413" s="275"/>
    </row>
    <row r="414" spans="20:22" ht="14.55" x14ac:dyDescent="0.3">
      <c r="T414" s="273"/>
      <c r="U414" s="274"/>
      <c r="V414" s="275"/>
    </row>
    <row r="415" spans="20:22" ht="14.55" x14ac:dyDescent="0.3">
      <c r="T415" s="273"/>
      <c r="U415" s="274"/>
      <c r="V415" s="275"/>
    </row>
    <row r="416" spans="20:22" ht="14.55" x14ac:dyDescent="0.3">
      <c r="T416" s="273"/>
      <c r="U416" s="274"/>
      <c r="V416" s="275"/>
    </row>
    <row r="417" spans="20:22" ht="14.55" x14ac:dyDescent="0.3">
      <c r="T417" s="273"/>
      <c r="U417" s="274"/>
      <c r="V417" s="275"/>
    </row>
    <row r="418" spans="20:22" ht="14.55" x14ac:dyDescent="0.3">
      <c r="T418" s="273"/>
      <c r="U418" s="274"/>
      <c r="V418" s="275"/>
    </row>
    <row r="419" spans="20:22" ht="14.55" x14ac:dyDescent="0.3">
      <c r="T419" s="273"/>
      <c r="U419" s="274"/>
      <c r="V419" s="275"/>
    </row>
    <row r="420" spans="20:22" ht="14.55" x14ac:dyDescent="0.3">
      <c r="T420" s="273"/>
      <c r="U420" s="274"/>
      <c r="V420" s="275"/>
    </row>
    <row r="421" spans="20:22" ht="14.55" x14ac:dyDescent="0.3">
      <c r="T421" s="273"/>
      <c r="U421" s="274"/>
      <c r="V421" s="275"/>
    </row>
    <row r="422" spans="20:22" ht="14.55" x14ac:dyDescent="0.3">
      <c r="T422" s="273"/>
      <c r="U422" s="274"/>
      <c r="V422" s="275"/>
    </row>
    <row r="423" spans="20:22" ht="14.55" x14ac:dyDescent="0.3">
      <c r="T423" s="273"/>
      <c r="U423" s="274"/>
      <c r="V423" s="275"/>
    </row>
    <row r="424" spans="20:22" ht="14.55" x14ac:dyDescent="0.3">
      <c r="T424" s="273"/>
      <c r="U424" s="274"/>
      <c r="V424" s="275"/>
    </row>
    <row r="425" spans="20:22" ht="14.55" x14ac:dyDescent="0.3">
      <c r="T425" s="273"/>
      <c r="U425" s="274"/>
      <c r="V425" s="275"/>
    </row>
    <row r="426" spans="20:22" ht="14.55" x14ac:dyDescent="0.3">
      <c r="T426" s="273"/>
      <c r="U426" s="274"/>
      <c r="V426" s="275"/>
    </row>
    <row r="427" spans="20:22" ht="14.55" x14ac:dyDescent="0.3">
      <c r="T427" s="273"/>
      <c r="U427" s="274"/>
      <c r="V427" s="275"/>
    </row>
    <row r="428" spans="20:22" ht="14.55" x14ac:dyDescent="0.3">
      <c r="T428" s="273"/>
      <c r="U428" s="274"/>
      <c r="V428" s="275"/>
    </row>
    <row r="429" spans="20:22" ht="14.55" x14ac:dyDescent="0.3">
      <c r="T429" s="273"/>
      <c r="U429" s="274"/>
      <c r="V429" s="275"/>
    </row>
    <row r="430" spans="20:22" ht="14.55" x14ac:dyDescent="0.3">
      <c r="T430" s="273"/>
      <c r="U430" s="274"/>
      <c r="V430" s="275"/>
    </row>
    <row r="431" spans="20:22" ht="14.55" x14ac:dyDescent="0.3">
      <c r="T431" s="273"/>
      <c r="U431" s="274"/>
      <c r="V431" s="275"/>
    </row>
    <row r="432" spans="20:22" ht="14.55" x14ac:dyDescent="0.3">
      <c r="T432" s="273"/>
      <c r="U432" s="274"/>
      <c r="V432" s="275"/>
    </row>
    <row r="433" spans="20:22" ht="14.55" x14ac:dyDescent="0.3">
      <c r="T433" s="273"/>
      <c r="U433" s="274"/>
      <c r="V433" s="275"/>
    </row>
    <row r="434" spans="20:22" ht="14.55" x14ac:dyDescent="0.3">
      <c r="T434" s="273"/>
      <c r="U434" s="274"/>
      <c r="V434" s="275"/>
    </row>
    <row r="435" spans="20:22" ht="14.55" x14ac:dyDescent="0.3">
      <c r="T435" s="273"/>
      <c r="U435" s="274"/>
      <c r="V435" s="275"/>
    </row>
    <row r="436" spans="20:22" ht="14.55" x14ac:dyDescent="0.3">
      <c r="T436" s="273"/>
      <c r="U436" s="274"/>
      <c r="V436" s="275"/>
    </row>
    <row r="437" spans="20:22" ht="14.55" x14ac:dyDescent="0.3">
      <c r="T437" s="273"/>
      <c r="U437" s="274"/>
      <c r="V437" s="275"/>
    </row>
    <row r="438" spans="20:22" ht="14.55" x14ac:dyDescent="0.3">
      <c r="T438" s="273"/>
      <c r="U438" s="274"/>
      <c r="V438" s="275"/>
    </row>
    <row r="439" spans="20:22" ht="14.55" x14ac:dyDescent="0.3">
      <c r="T439" s="273"/>
      <c r="U439" s="274"/>
      <c r="V439" s="275"/>
    </row>
    <row r="440" spans="20:22" ht="14.55" x14ac:dyDescent="0.3">
      <c r="T440" s="273"/>
      <c r="U440" s="274"/>
      <c r="V440" s="275"/>
    </row>
    <row r="441" spans="20:22" ht="14.55" x14ac:dyDescent="0.3">
      <c r="T441" s="273"/>
      <c r="U441" s="274"/>
      <c r="V441" s="275"/>
    </row>
    <row r="442" spans="20:22" ht="14.55" x14ac:dyDescent="0.3">
      <c r="T442" s="273"/>
      <c r="U442" s="274"/>
      <c r="V442" s="275"/>
    </row>
    <row r="443" spans="20:22" ht="14.55" x14ac:dyDescent="0.3">
      <c r="T443" s="273"/>
      <c r="U443" s="274"/>
      <c r="V443" s="275"/>
    </row>
    <row r="444" spans="20:22" ht="14.55" x14ac:dyDescent="0.3">
      <c r="T444" s="273"/>
      <c r="U444" s="274"/>
      <c r="V444" s="275"/>
    </row>
    <row r="445" spans="20:22" ht="14.55" x14ac:dyDescent="0.3">
      <c r="T445" s="273"/>
      <c r="U445" s="274"/>
      <c r="V445" s="275"/>
    </row>
    <row r="446" spans="20:22" ht="14.55" x14ac:dyDescent="0.3">
      <c r="T446" s="273"/>
      <c r="U446" s="274"/>
      <c r="V446" s="275"/>
    </row>
    <row r="447" spans="20:22" ht="14.55" x14ac:dyDescent="0.3">
      <c r="T447" s="273"/>
      <c r="U447" s="274"/>
      <c r="V447" s="275"/>
    </row>
    <row r="448" spans="20:22" ht="14.55" x14ac:dyDescent="0.3">
      <c r="T448" s="273"/>
      <c r="U448" s="274"/>
      <c r="V448" s="275"/>
    </row>
    <row r="449" spans="20:22" ht="14.55" x14ac:dyDescent="0.3">
      <c r="T449" s="273"/>
      <c r="U449" s="274"/>
      <c r="V449" s="275"/>
    </row>
    <row r="450" spans="20:22" ht="14.55" x14ac:dyDescent="0.3">
      <c r="T450" s="273"/>
      <c r="U450" s="274"/>
      <c r="V450" s="275"/>
    </row>
    <row r="451" spans="20:22" ht="14.55" x14ac:dyDescent="0.3">
      <c r="T451" s="273"/>
      <c r="U451" s="274"/>
      <c r="V451" s="275"/>
    </row>
    <row r="452" spans="20:22" ht="14.55" x14ac:dyDescent="0.3">
      <c r="T452" s="273"/>
      <c r="U452" s="274"/>
      <c r="V452" s="275"/>
    </row>
    <row r="453" spans="20:22" ht="14.55" x14ac:dyDescent="0.3">
      <c r="T453" s="273"/>
      <c r="U453" s="274"/>
      <c r="V453" s="275"/>
    </row>
    <row r="454" spans="20:22" ht="14.55" x14ac:dyDescent="0.3">
      <c r="T454" s="273"/>
      <c r="U454" s="274"/>
      <c r="V454" s="275"/>
    </row>
    <row r="455" spans="20:22" ht="14.55" x14ac:dyDescent="0.3">
      <c r="T455" s="273"/>
      <c r="U455" s="274"/>
      <c r="V455" s="275"/>
    </row>
    <row r="456" spans="20:22" ht="14.55" x14ac:dyDescent="0.3">
      <c r="T456" s="273"/>
      <c r="U456" s="274"/>
      <c r="V456" s="275"/>
    </row>
    <row r="457" spans="20:22" ht="14.55" x14ac:dyDescent="0.3">
      <c r="T457" s="273"/>
      <c r="U457" s="274"/>
      <c r="V457" s="275"/>
    </row>
    <row r="458" spans="20:22" ht="14.55" x14ac:dyDescent="0.3">
      <c r="T458" s="273"/>
      <c r="U458" s="274"/>
      <c r="V458" s="275"/>
    </row>
    <row r="459" spans="20:22" ht="14.55" x14ac:dyDescent="0.3">
      <c r="T459" s="273"/>
      <c r="U459" s="274"/>
      <c r="V459" s="275"/>
    </row>
    <row r="460" spans="20:22" ht="14.55" x14ac:dyDescent="0.3">
      <c r="T460" s="273"/>
      <c r="U460" s="274"/>
      <c r="V460" s="275"/>
    </row>
    <row r="461" spans="20:22" ht="14.55" x14ac:dyDescent="0.3">
      <c r="T461" s="273"/>
      <c r="U461" s="274"/>
      <c r="V461" s="275"/>
    </row>
    <row r="462" spans="20:22" ht="14.55" x14ac:dyDescent="0.3">
      <c r="T462" s="273"/>
      <c r="U462" s="274"/>
      <c r="V462" s="275"/>
    </row>
    <row r="463" spans="20:22" ht="14.55" x14ac:dyDescent="0.3">
      <c r="T463" s="273"/>
      <c r="U463" s="274"/>
      <c r="V463" s="275"/>
    </row>
    <row r="464" spans="20:22" ht="14.55" x14ac:dyDescent="0.3">
      <c r="T464" s="273"/>
      <c r="U464" s="274"/>
      <c r="V464" s="275"/>
    </row>
    <row r="465" spans="20:22" ht="14.55" x14ac:dyDescent="0.3">
      <c r="T465" s="273"/>
      <c r="U465" s="274"/>
      <c r="V465" s="275"/>
    </row>
    <row r="466" spans="20:22" ht="14.55" x14ac:dyDescent="0.3">
      <c r="T466" s="273"/>
      <c r="U466" s="274"/>
      <c r="V466" s="275"/>
    </row>
    <row r="467" spans="20:22" ht="14.55" x14ac:dyDescent="0.3">
      <c r="T467" s="273"/>
      <c r="U467" s="274"/>
      <c r="V467" s="275"/>
    </row>
    <row r="468" spans="20:22" ht="14.55" x14ac:dyDescent="0.3">
      <c r="T468" s="273"/>
      <c r="U468" s="274"/>
      <c r="V468" s="275"/>
    </row>
    <row r="469" spans="20:22" ht="14.55" x14ac:dyDescent="0.3">
      <c r="T469" s="273"/>
      <c r="U469" s="274"/>
      <c r="V469" s="275"/>
    </row>
    <row r="470" spans="20:22" ht="14.55" x14ac:dyDescent="0.3">
      <c r="T470" s="273"/>
      <c r="U470" s="274"/>
      <c r="V470" s="275"/>
    </row>
    <row r="471" spans="20:22" ht="14.55" x14ac:dyDescent="0.3">
      <c r="T471" s="273"/>
      <c r="U471" s="274"/>
      <c r="V471" s="275"/>
    </row>
    <row r="472" spans="20:22" ht="14.55" x14ac:dyDescent="0.3">
      <c r="T472" s="273"/>
      <c r="U472" s="274"/>
      <c r="V472" s="275"/>
    </row>
    <row r="473" spans="20:22" ht="14.55" x14ac:dyDescent="0.3">
      <c r="T473" s="273"/>
      <c r="U473" s="274"/>
      <c r="V473" s="275"/>
    </row>
    <row r="474" spans="20:22" ht="14.55" x14ac:dyDescent="0.3">
      <c r="T474" s="273"/>
      <c r="U474" s="274"/>
      <c r="V474" s="275"/>
    </row>
    <row r="475" spans="20:22" ht="14.55" x14ac:dyDescent="0.3">
      <c r="T475" s="273"/>
      <c r="U475" s="274"/>
      <c r="V475" s="275"/>
    </row>
    <row r="476" spans="20:22" ht="14.55" x14ac:dyDescent="0.3">
      <c r="T476" s="273"/>
      <c r="U476" s="274"/>
      <c r="V476" s="275"/>
    </row>
    <row r="477" spans="20:22" ht="14.55" x14ac:dyDescent="0.3">
      <c r="T477" s="273"/>
      <c r="U477" s="274"/>
      <c r="V477" s="275"/>
    </row>
    <row r="478" spans="20:22" ht="14.55" x14ac:dyDescent="0.3">
      <c r="T478" s="273"/>
      <c r="U478" s="274"/>
      <c r="V478" s="275"/>
    </row>
    <row r="479" spans="20:22" ht="14.55" x14ac:dyDescent="0.3">
      <c r="T479" s="273"/>
      <c r="U479" s="274"/>
      <c r="V479" s="275"/>
    </row>
    <row r="480" spans="20:22" ht="14.55" x14ac:dyDescent="0.3">
      <c r="T480" s="273"/>
      <c r="U480" s="274"/>
      <c r="V480" s="275"/>
    </row>
    <row r="481" spans="20:22" ht="14.55" x14ac:dyDescent="0.3">
      <c r="T481" s="273"/>
      <c r="U481" s="274"/>
      <c r="V481" s="275"/>
    </row>
    <row r="482" spans="20:22" ht="14.55" x14ac:dyDescent="0.3">
      <c r="T482" s="273"/>
      <c r="U482" s="274"/>
      <c r="V482" s="275"/>
    </row>
    <row r="483" spans="20:22" ht="14.55" x14ac:dyDescent="0.3">
      <c r="T483" s="273"/>
      <c r="U483" s="274"/>
      <c r="V483" s="275"/>
    </row>
    <row r="484" spans="20:22" ht="14.55" x14ac:dyDescent="0.3">
      <c r="T484" s="273"/>
      <c r="U484" s="274"/>
      <c r="V484" s="275"/>
    </row>
    <row r="485" spans="20:22" ht="14.55" x14ac:dyDescent="0.3">
      <c r="T485" s="273"/>
      <c r="U485" s="274"/>
      <c r="V485" s="275"/>
    </row>
    <row r="486" spans="20:22" ht="14.55" x14ac:dyDescent="0.3">
      <c r="T486" s="273"/>
      <c r="U486" s="274"/>
      <c r="V486" s="275"/>
    </row>
    <row r="487" spans="20:22" ht="14.55" x14ac:dyDescent="0.3">
      <c r="T487" s="273"/>
      <c r="U487" s="274"/>
      <c r="V487" s="275"/>
    </row>
    <row r="488" spans="20:22" ht="14.55" x14ac:dyDescent="0.3">
      <c r="T488" s="273"/>
      <c r="U488" s="274"/>
      <c r="V488" s="275"/>
    </row>
    <row r="489" spans="20:22" ht="14.55" x14ac:dyDescent="0.3">
      <c r="T489" s="273"/>
      <c r="U489" s="274"/>
      <c r="V489" s="275"/>
    </row>
    <row r="490" spans="20:22" ht="14.55" x14ac:dyDescent="0.3">
      <c r="T490" s="273"/>
      <c r="U490" s="274"/>
      <c r="V490" s="275"/>
    </row>
    <row r="491" spans="20:22" ht="14.55" x14ac:dyDescent="0.3">
      <c r="T491" s="273"/>
      <c r="U491" s="274"/>
      <c r="V491" s="275"/>
    </row>
    <row r="492" spans="20:22" ht="14.55" x14ac:dyDescent="0.3">
      <c r="T492" s="273"/>
      <c r="U492" s="274"/>
      <c r="V492" s="275"/>
    </row>
    <row r="493" spans="20:22" ht="14.55" x14ac:dyDescent="0.3">
      <c r="T493" s="273"/>
      <c r="U493" s="274"/>
      <c r="V493" s="275"/>
    </row>
    <row r="494" spans="20:22" ht="14.55" x14ac:dyDescent="0.3">
      <c r="T494" s="273"/>
      <c r="U494" s="274"/>
      <c r="V494" s="275"/>
    </row>
    <row r="495" spans="20:22" ht="14.55" x14ac:dyDescent="0.3">
      <c r="T495" s="273"/>
      <c r="U495" s="274"/>
      <c r="V495" s="275"/>
    </row>
    <row r="496" spans="20:22" ht="14.55" x14ac:dyDescent="0.3">
      <c r="T496" s="273"/>
      <c r="U496" s="274"/>
      <c r="V496" s="275"/>
    </row>
    <row r="497" spans="20:22" ht="14.55" x14ac:dyDescent="0.3">
      <c r="T497" s="273"/>
      <c r="U497" s="274"/>
      <c r="V497" s="275"/>
    </row>
    <row r="498" spans="20:22" ht="14.55" x14ac:dyDescent="0.3">
      <c r="T498" s="273"/>
      <c r="U498" s="274"/>
      <c r="V498" s="275"/>
    </row>
    <row r="499" spans="20:22" ht="14.55" x14ac:dyDescent="0.3">
      <c r="T499" s="273"/>
      <c r="U499" s="274"/>
      <c r="V499" s="275"/>
    </row>
    <row r="500" spans="20:22" ht="14.55" x14ac:dyDescent="0.3">
      <c r="T500" s="273"/>
      <c r="U500" s="274"/>
      <c r="V500" s="275"/>
    </row>
    <row r="501" spans="20:22" ht="14.55" x14ac:dyDescent="0.3">
      <c r="T501" s="273"/>
      <c r="U501" s="274"/>
      <c r="V501" s="275"/>
    </row>
    <row r="502" spans="20:22" ht="14.55" x14ac:dyDescent="0.3">
      <c r="T502" s="273"/>
      <c r="U502" s="274"/>
      <c r="V502" s="275"/>
    </row>
    <row r="503" spans="20:22" ht="14.55" x14ac:dyDescent="0.3">
      <c r="T503" s="273"/>
      <c r="U503" s="274"/>
      <c r="V503" s="275"/>
    </row>
    <row r="504" spans="20:22" ht="14.55" x14ac:dyDescent="0.3">
      <c r="T504" s="273"/>
      <c r="U504" s="274"/>
      <c r="V504" s="275"/>
    </row>
    <row r="505" spans="20:22" ht="14.55" x14ac:dyDescent="0.3">
      <c r="T505" s="273"/>
      <c r="U505" s="274"/>
      <c r="V505" s="275"/>
    </row>
    <row r="506" spans="20:22" ht="14.55" x14ac:dyDescent="0.3">
      <c r="T506" s="273"/>
      <c r="U506" s="274"/>
      <c r="V506" s="275"/>
    </row>
    <row r="507" spans="20:22" ht="14.55" x14ac:dyDescent="0.3">
      <c r="T507" s="273"/>
      <c r="U507" s="274"/>
      <c r="V507" s="275"/>
    </row>
    <row r="508" spans="20:22" ht="14.55" x14ac:dyDescent="0.3">
      <c r="T508" s="273"/>
      <c r="U508" s="274"/>
      <c r="V508" s="275"/>
    </row>
    <row r="509" spans="20:22" ht="14.55" x14ac:dyDescent="0.3">
      <c r="T509" s="273"/>
      <c r="U509" s="274"/>
      <c r="V509" s="275"/>
    </row>
    <row r="510" spans="20:22" ht="14.55" x14ac:dyDescent="0.3">
      <c r="T510" s="273"/>
      <c r="U510" s="274"/>
      <c r="V510" s="275"/>
    </row>
    <row r="511" spans="20:22" ht="14.55" x14ac:dyDescent="0.3">
      <c r="T511" s="273"/>
      <c r="U511" s="274"/>
      <c r="V511" s="275"/>
    </row>
    <row r="512" spans="20:22" ht="14.55" x14ac:dyDescent="0.3">
      <c r="T512" s="273"/>
      <c r="U512" s="274"/>
      <c r="V512" s="275"/>
    </row>
    <row r="513" spans="20:22" ht="14.55" x14ac:dyDescent="0.3">
      <c r="T513" s="273"/>
      <c r="U513" s="274"/>
      <c r="V513" s="275"/>
    </row>
    <row r="514" spans="20:22" ht="14.55" x14ac:dyDescent="0.3">
      <c r="T514" s="273"/>
      <c r="U514" s="274"/>
      <c r="V514" s="275"/>
    </row>
    <row r="515" spans="20:22" ht="14.55" x14ac:dyDescent="0.3">
      <c r="T515" s="273"/>
      <c r="U515" s="274"/>
      <c r="V515" s="275"/>
    </row>
    <row r="516" spans="20:22" ht="14.55" x14ac:dyDescent="0.3">
      <c r="T516" s="273"/>
      <c r="U516" s="274"/>
      <c r="V516" s="275"/>
    </row>
    <row r="517" spans="20:22" ht="14.55" x14ac:dyDescent="0.3">
      <c r="T517" s="273"/>
      <c r="U517" s="274"/>
      <c r="V517" s="275"/>
    </row>
    <row r="518" spans="20:22" ht="14.55" x14ac:dyDescent="0.3">
      <c r="T518" s="273"/>
      <c r="U518" s="274"/>
      <c r="V518" s="275"/>
    </row>
    <row r="519" spans="20:22" ht="14.55" x14ac:dyDescent="0.3">
      <c r="T519" s="273"/>
      <c r="U519" s="274"/>
      <c r="V519" s="275"/>
    </row>
    <row r="520" spans="20:22" ht="14.55" x14ac:dyDescent="0.3">
      <c r="T520" s="273"/>
      <c r="U520" s="274"/>
      <c r="V520" s="275"/>
    </row>
    <row r="521" spans="20:22" ht="14.55" x14ac:dyDescent="0.3">
      <c r="T521" s="273"/>
      <c r="U521" s="274"/>
      <c r="V521" s="275"/>
    </row>
    <row r="522" spans="20:22" ht="14.55" x14ac:dyDescent="0.3">
      <c r="T522" s="273"/>
      <c r="U522" s="274"/>
      <c r="V522" s="275"/>
    </row>
    <row r="523" spans="20:22" ht="14.55" x14ac:dyDescent="0.3">
      <c r="T523" s="273"/>
      <c r="U523" s="274"/>
      <c r="V523" s="275"/>
    </row>
    <row r="524" spans="20:22" ht="14.55" x14ac:dyDescent="0.3">
      <c r="T524" s="273"/>
      <c r="U524" s="274"/>
      <c r="V524" s="275"/>
    </row>
    <row r="525" spans="20:22" ht="14.55" x14ac:dyDescent="0.3">
      <c r="T525" s="273"/>
      <c r="U525" s="274"/>
      <c r="V525" s="275"/>
    </row>
    <row r="526" spans="20:22" ht="14.55" x14ac:dyDescent="0.3">
      <c r="T526" s="273"/>
      <c r="U526" s="274"/>
      <c r="V526" s="275"/>
    </row>
    <row r="527" spans="20:22" ht="14.55" x14ac:dyDescent="0.3">
      <c r="T527" s="273"/>
      <c r="U527" s="274"/>
      <c r="V527" s="275"/>
    </row>
    <row r="528" spans="20:22" ht="14.55" x14ac:dyDescent="0.3">
      <c r="T528" s="273"/>
      <c r="U528" s="274"/>
      <c r="V528" s="275"/>
    </row>
    <row r="529" spans="20:22" ht="14.55" x14ac:dyDescent="0.3">
      <c r="T529" s="273"/>
      <c r="U529" s="274"/>
      <c r="V529" s="275"/>
    </row>
    <row r="530" spans="20:22" ht="14.55" x14ac:dyDescent="0.3">
      <c r="T530" s="273"/>
      <c r="U530" s="274"/>
      <c r="V530" s="275"/>
    </row>
    <row r="531" spans="20:22" ht="14.55" x14ac:dyDescent="0.3">
      <c r="T531" s="273"/>
      <c r="U531" s="274"/>
      <c r="V531" s="275"/>
    </row>
    <row r="532" spans="20:22" ht="14.55" x14ac:dyDescent="0.3">
      <c r="T532" s="273"/>
      <c r="U532" s="274"/>
      <c r="V532" s="275"/>
    </row>
    <row r="533" spans="20:22" ht="14.55" x14ac:dyDescent="0.3">
      <c r="T533" s="273"/>
      <c r="U533" s="274"/>
      <c r="V533" s="275"/>
    </row>
    <row r="534" spans="20:22" ht="14.55" x14ac:dyDescent="0.3">
      <c r="T534" s="273"/>
      <c r="U534" s="274"/>
      <c r="V534" s="275"/>
    </row>
    <row r="535" spans="20:22" ht="14.55" x14ac:dyDescent="0.3">
      <c r="T535" s="273"/>
      <c r="U535" s="274"/>
      <c r="V535" s="275"/>
    </row>
    <row r="536" spans="20:22" ht="14.55" x14ac:dyDescent="0.3">
      <c r="T536" s="273"/>
      <c r="U536" s="274"/>
      <c r="V536" s="275"/>
    </row>
    <row r="537" spans="20:22" ht="14.55" x14ac:dyDescent="0.3">
      <c r="T537" s="273"/>
      <c r="U537" s="274"/>
      <c r="V537" s="275"/>
    </row>
    <row r="538" spans="20:22" ht="14.55" x14ac:dyDescent="0.3">
      <c r="T538" s="273"/>
      <c r="U538" s="274"/>
      <c r="V538" s="275"/>
    </row>
    <row r="539" spans="20:22" ht="14.55" x14ac:dyDescent="0.3">
      <c r="T539" s="273"/>
      <c r="U539" s="274"/>
      <c r="V539" s="275"/>
    </row>
    <row r="540" spans="20:22" ht="14.55" x14ac:dyDescent="0.3">
      <c r="T540" s="273"/>
      <c r="U540" s="274"/>
      <c r="V540" s="275"/>
    </row>
    <row r="541" spans="20:22" ht="14.55" x14ac:dyDescent="0.3">
      <c r="T541" s="273"/>
      <c r="U541" s="274"/>
      <c r="V541" s="275"/>
    </row>
    <row r="542" spans="20:22" ht="14.55" x14ac:dyDescent="0.3">
      <c r="T542" s="273"/>
      <c r="U542" s="274"/>
      <c r="V542" s="275"/>
    </row>
    <row r="543" spans="20:22" ht="14.55" x14ac:dyDescent="0.3">
      <c r="T543" s="273"/>
      <c r="U543" s="274"/>
      <c r="V543" s="275"/>
    </row>
    <row r="544" spans="20:22" ht="14.55" x14ac:dyDescent="0.3">
      <c r="T544" s="273"/>
      <c r="U544" s="274"/>
      <c r="V544" s="275"/>
    </row>
    <row r="545" spans="20:22" ht="14.55" x14ac:dyDescent="0.3">
      <c r="T545" s="273"/>
      <c r="U545" s="274"/>
      <c r="V545" s="275"/>
    </row>
    <row r="546" spans="20:22" ht="14.55" x14ac:dyDescent="0.3">
      <c r="T546" s="273"/>
      <c r="U546" s="274"/>
      <c r="V546" s="275"/>
    </row>
    <row r="547" spans="20:22" ht="14.55" x14ac:dyDescent="0.3">
      <c r="T547" s="273"/>
      <c r="U547" s="274"/>
      <c r="V547" s="275"/>
    </row>
    <row r="548" spans="20:22" ht="14.55" x14ac:dyDescent="0.3">
      <c r="T548" s="273"/>
      <c r="U548" s="274"/>
      <c r="V548" s="275"/>
    </row>
    <row r="549" spans="20:22" ht="14.55" x14ac:dyDescent="0.3">
      <c r="T549" s="273"/>
      <c r="U549" s="274"/>
      <c r="V549" s="275"/>
    </row>
    <row r="550" spans="20:22" ht="14.55" x14ac:dyDescent="0.3">
      <c r="T550" s="273"/>
      <c r="U550" s="274"/>
      <c r="V550" s="275"/>
    </row>
    <row r="551" spans="20:22" ht="14.55" x14ac:dyDescent="0.3">
      <c r="T551" s="273"/>
      <c r="U551" s="274"/>
      <c r="V551" s="275"/>
    </row>
    <row r="552" spans="20:22" ht="14.55" x14ac:dyDescent="0.3">
      <c r="T552" s="273"/>
      <c r="U552" s="274"/>
      <c r="V552" s="275"/>
    </row>
    <row r="553" spans="20:22" ht="14.55" x14ac:dyDescent="0.3">
      <c r="T553" s="273"/>
      <c r="U553" s="274"/>
      <c r="V553" s="275"/>
    </row>
    <row r="554" spans="20:22" ht="14.55" x14ac:dyDescent="0.3">
      <c r="T554" s="273"/>
      <c r="U554" s="274"/>
      <c r="V554" s="275"/>
    </row>
    <row r="555" spans="20:22" ht="14.55" x14ac:dyDescent="0.3">
      <c r="T555" s="273"/>
      <c r="U555" s="274"/>
      <c r="V555" s="275"/>
    </row>
    <row r="556" spans="20:22" ht="14.55" x14ac:dyDescent="0.3">
      <c r="T556" s="273"/>
      <c r="U556" s="274"/>
      <c r="V556" s="275"/>
    </row>
    <row r="557" spans="20:22" ht="14.55" x14ac:dyDescent="0.3">
      <c r="T557" s="273"/>
      <c r="U557" s="274"/>
      <c r="V557" s="275"/>
    </row>
    <row r="558" spans="20:22" ht="14.55" x14ac:dyDescent="0.3">
      <c r="T558" s="273"/>
      <c r="U558" s="274"/>
      <c r="V558" s="275"/>
    </row>
    <row r="559" spans="20:22" ht="14.55" x14ac:dyDescent="0.3">
      <c r="T559" s="273"/>
      <c r="U559" s="274"/>
      <c r="V559" s="275"/>
    </row>
    <row r="560" spans="20:22" ht="14.55" x14ac:dyDescent="0.3">
      <c r="T560" s="273"/>
      <c r="U560" s="274"/>
      <c r="V560" s="275"/>
    </row>
    <row r="561" spans="20:22" ht="14.55" x14ac:dyDescent="0.3">
      <c r="T561" s="273"/>
      <c r="U561" s="274"/>
      <c r="V561" s="275"/>
    </row>
    <row r="562" spans="20:22" ht="14.55" x14ac:dyDescent="0.3">
      <c r="T562" s="273"/>
      <c r="U562" s="274"/>
      <c r="V562" s="275"/>
    </row>
    <row r="563" spans="20:22" ht="14.55" x14ac:dyDescent="0.3">
      <c r="T563" s="273"/>
      <c r="U563" s="274"/>
      <c r="V563" s="275"/>
    </row>
    <row r="564" spans="20:22" ht="14.55" x14ac:dyDescent="0.3">
      <c r="T564" s="273"/>
      <c r="U564" s="274"/>
      <c r="V564" s="275"/>
    </row>
    <row r="565" spans="20:22" ht="14.55" x14ac:dyDescent="0.3">
      <c r="T565" s="273"/>
      <c r="U565" s="274"/>
      <c r="V565" s="275"/>
    </row>
    <row r="566" spans="20:22" ht="14.55" x14ac:dyDescent="0.3">
      <c r="T566" s="273"/>
      <c r="U566" s="274"/>
      <c r="V566" s="275"/>
    </row>
    <row r="567" spans="20:22" ht="14.55" x14ac:dyDescent="0.3">
      <c r="T567" s="273"/>
      <c r="U567" s="274"/>
      <c r="V567" s="275"/>
    </row>
    <row r="568" spans="20:22" ht="14.55" x14ac:dyDescent="0.3">
      <c r="T568" s="273"/>
      <c r="U568" s="274"/>
      <c r="V568" s="275"/>
    </row>
    <row r="569" spans="20:22" ht="14.55" x14ac:dyDescent="0.3">
      <c r="T569" s="273"/>
      <c r="U569" s="274"/>
      <c r="V569" s="275"/>
    </row>
    <row r="570" spans="20:22" ht="14.55" x14ac:dyDescent="0.3">
      <c r="T570" s="273"/>
      <c r="U570" s="274"/>
      <c r="V570" s="275"/>
    </row>
    <row r="571" spans="20:22" ht="14.55" x14ac:dyDescent="0.3">
      <c r="T571" s="273"/>
      <c r="U571" s="274"/>
      <c r="V571" s="275"/>
    </row>
    <row r="572" spans="20:22" ht="14.55" x14ac:dyDescent="0.3">
      <c r="T572" s="273"/>
      <c r="U572" s="274"/>
      <c r="V572" s="275"/>
    </row>
    <row r="573" spans="20:22" ht="14.55" x14ac:dyDescent="0.3">
      <c r="T573" s="273"/>
      <c r="U573" s="274"/>
      <c r="V573" s="275"/>
    </row>
    <row r="574" spans="20:22" ht="14.55" x14ac:dyDescent="0.3">
      <c r="T574" s="273"/>
      <c r="U574" s="274"/>
      <c r="V574" s="275"/>
    </row>
    <row r="575" spans="20:22" ht="14.55" x14ac:dyDescent="0.3">
      <c r="T575" s="273"/>
      <c r="U575" s="274"/>
      <c r="V575" s="275"/>
    </row>
    <row r="576" spans="20:22" ht="14.55" x14ac:dyDescent="0.3">
      <c r="T576" s="273"/>
      <c r="U576" s="274"/>
      <c r="V576" s="275"/>
    </row>
    <row r="577" spans="20:22" ht="14.55" x14ac:dyDescent="0.3">
      <c r="T577" s="273"/>
      <c r="U577" s="274"/>
      <c r="V577" s="275"/>
    </row>
    <row r="578" spans="20:22" ht="14.55" x14ac:dyDescent="0.3">
      <c r="T578" s="273"/>
      <c r="U578" s="274"/>
      <c r="V578" s="275"/>
    </row>
    <row r="579" spans="20:22" ht="14.55" x14ac:dyDescent="0.3">
      <c r="T579" s="273"/>
      <c r="U579" s="274"/>
      <c r="V579" s="275"/>
    </row>
    <row r="580" spans="20:22" ht="14.55" x14ac:dyDescent="0.3">
      <c r="T580" s="273"/>
      <c r="U580" s="274"/>
      <c r="V580" s="275"/>
    </row>
    <row r="581" spans="20:22" ht="14.55" x14ac:dyDescent="0.3">
      <c r="T581" s="273"/>
      <c r="U581" s="274"/>
      <c r="V581" s="275"/>
    </row>
  </sheetData>
  <sheetProtection selectLockedCells="1"/>
  <mergeCells count="102">
    <mergeCell ref="H101:I101"/>
    <mergeCell ref="J101:K101"/>
    <mergeCell ref="H102:I102"/>
    <mergeCell ref="H98:I98"/>
    <mergeCell ref="J98:K98"/>
    <mergeCell ref="H99:I99"/>
    <mergeCell ref="J99:K99"/>
    <mergeCell ref="H100:I100"/>
    <mergeCell ref="J100:K100"/>
    <mergeCell ref="H95:I95"/>
    <mergeCell ref="J95:K95"/>
    <mergeCell ref="H96:I96"/>
    <mergeCell ref="J96:K96"/>
    <mergeCell ref="H97:I97"/>
    <mergeCell ref="J97:K97"/>
    <mergeCell ref="H92:I92"/>
    <mergeCell ref="J92:K92"/>
    <mergeCell ref="H93:I93"/>
    <mergeCell ref="J93:K93"/>
    <mergeCell ref="H94:I94"/>
    <mergeCell ref="J94:K94"/>
    <mergeCell ref="G88:H88"/>
    <mergeCell ref="I88:J88"/>
    <mergeCell ref="K88:M88"/>
    <mergeCell ref="B89:E89"/>
    <mergeCell ref="L89:M89"/>
    <mergeCell ref="H91:K91"/>
    <mergeCell ref="B80:E80"/>
    <mergeCell ref="L80:M80"/>
    <mergeCell ref="C82:C86"/>
    <mergeCell ref="L82:M82"/>
    <mergeCell ref="L83:M83"/>
    <mergeCell ref="L84:M84"/>
    <mergeCell ref="L85:M85"/>
    <mergeCell ref="L86:M86"/>
    <mergeCell ref="L76:M76"/>
    <mergeCell ref="B77:E77"/>
    <mergeCell ref="L77:M77"/>
    <mergeCell ref="B78:E78"/>
    <mergeCell ref="L78:M78"/>
    <mergeCell ref="B79:E79"/>
    <mergeCell ref="L79:M79"/>
    <mergeCell ref="B69:E69"/>
    <mergeCell ref="L69:M69"/>
    <mergeCell ref="B70:E70"/>
    <mergeCell ref="L70:M70"/>
    <mergeCell ref="B71:E71"/>
    <mergeCell ref="L71:M71"/>
    <mergeCell ref="L61:M61"/>
    <mergeCell ref="L62:M62"/>
    <mergeCell ref="L63:M63"/>
    <mergeCell ref="L67:M67"/>
    <mergeCell ref="B68:E68"/>
    <mergeCell ref="L68:M68"/>
    <mergeCell ref="L52:M52"/>
    <mergeCell ref="L53:M53"/>
    <mergeCell ref="L54:M54"/>
    <mergeCell ref="L55:M55"/>
    <mergeCell ref="E57:E58"/>
    <mergeCell ref="L57:M57"/>
    <mergeCell ref="L58:M58"/>
    <mergeCell ref="L59:M59"/>
    <mergeCell ref="L60:M60"/>
    <mergeCell ref="D49:D55"/>
    <mergeCell ref="D57:D63"/>
    <mergeCell ref="B44:E44"/>
    <mergeCell ref="G44:H44"/>
    <mergeCell ref="G48:H48"/>
    <mergeCell ref="I48:J48"/>
    <mergeCell ref="K48:M48"/>
    <mergeCell ref="E49:E50"/>
    <mergeCell ref="L49:M49"/>
    <mergeCell ref="L50:M50"/>
    <mergeCell ref="L51:M51"/>
    <mergeCell ref="B39:E39"/>
    <mergeCell ref="G39:H39"/>
    <mergeCell ref="I39:J39"/>
    <mergeCell ref="K39:L39"/>
    <mergeCell ref="B43:E43"/>
    <mergeCell ref="G43:H43"/>
    <mergeCell ref="D31:H31"/>
    <mergeCell ref="D33:D37"/>
    <mergeCell ref="G33:G37"/>
    <mergeCell ref="G38:H38"/>
    <mergeCell ref="I38:J38"/>
    <mergeCell ref="K38:L38"/>
    <mergeCell ref="P5:Q5"/>
    <mergeCell ref="D7:E7"/>
    <mergeCell ref="G7:H7"/>
    <mergeCell ref="J7:K7"/>
    <mergeCell ref="M7:N7"/>
    <mergeCell ref="P7:Q7"/>
    <mergeCell ref="B4:B7"/>
    <mergeCell ref="D4:E4"/>
    <mergeCell ref="G4:H4"/>
    <mergeCell ref="J4:K4"/>
    <mergeCell ref="M4:N4"/>
    <mergeCell ref="P4:Q4"/>
    <mergeCell ref="D5:E5"/>
    <mergeCell ref="G5:H5"/>
    <mergeCell ref="J5:K5"/>
    <mergeCell ref="M5:N5"/>
  </mergeCells>
  <conditionalFormatting sqref="C106:P114">
    <cfRule type="cellIs" dxfId="407" priority="12" operator="greaterThan">
      <formula>0</formula>
    </cfRule>
  </conditionalFormatting>
  <conditionalFormatting sqref="B8:B27">
    <cfRule type="colorScale" priority="11">
      <colorScale>
        <cfvo type="min"/>
        <cfvo type="percentile" val="50"/>
        <cfvo type="max"/>
        <color rgb="FF63BE7B"/>
        <color rgb="FFFFEB84"/>
        <color rgb="FFF8696B"/>
      </colorScale>
    </cfRule>
  </conditionalFormatting>
  <conditionalFormatting sqref="D8:D27">
    <cfRule type="colorScale" priority="10">
      <colorScale>
        <cfvo type="min"/>
        <cfvo type="percentile" val="50"/>
        <cfvo type="max"/>
        <color rgb="FF63BE7B"/>
        <color rgb="FFFFEB84"/>
        <color rgb="FFF8696B"/>
      </colorScale>
    </cfRule>
  </conditionalFormatting>
  <conditionalFormatting sqref="E8:E27">
    <cfRule type="colorScale" priority="9">
      <colorScale>
        <cfvo type="min"/>
        <cfvo type="percentile" val="50"/>
        <cfvo type="max"/>
        <color rgb="FF63BE7B"/>
        <color rgb="FFFFEB84"/>
        <color rgb="FFF8696B"/>
      </colorScale>
    </cfRule>
  </conditionalFormatting>
  <conditionalFormatting sqref="G8:G27">
    <cfRule type="colorScale" priority="8">
      <colorScale>
        <cfvo type="min"/>
        <cfvo type="percentile" val="50"/>
        <cfvo type="max"/>
        <color rgb="FF63BE7B"/>
        <color rgb="FFFFEB84"/>
        <color rgb="FFF8696B"/>
      </colorScale>
    </cfRule>
  </conditionalFormatting>
  <conditionalFormatting sqref="H8:H27">
    <cfRule type="colorScale" priority="7">
      <colorScale>
        <cfvo type="min"/>
        <cfvo type="percentile" val="50"/>
        <cfvo type="max"/>
        <color rgb="FF63BE7B"/>
        <color rgb="FFFFEB84"/>
        <color rgb="FFF8696B"/>
      </colorScale>
    </cfRule>
  </conditionalFormatting>
  <conditionalFormatting sqref="J8:J27">
    <cfRule type="colorScale" priority="6">
      <colorScale>
        <cfvo type="min"/>
        <cfvo type="percentile" val="50"/>
        <cfvo type="max"/>
        <color rgb="FF63BE7B"/>
        <color rgb="FFFFEB84"/>
        <color rgb="FFF8696B"/>
      </colorScale>
    </cfRule>
  </conditionalFormatting>
  <conditionalFormatting sqref="K8:K27">
    <cfRule type="colorScale" priority="5">
      <colorScale>
        <cfvo type="min"/>
        <cfvo type="percentile" val="50"/>
        <cfvo type="max"/>
        <color rgb="FF63BE7B"/>
        <color rgb="FFFFEB84"/>
        <color rgb="FFF8696B"/>
      </colorScale>
    </cfRule>
  </conditionalFormatting>
  <conditionalFormatting sqref="M8:M27">
    <cfRule type="colorScale" priority="4">
      <colorScale>
        <cfvo type="min"/>
        <cfvo type="percentile" val="50"/>
        <cfvo type="max"/>
        <color rgb="FF63BE7B"/>
        <color rgb="FFFFEB84"/>
        <color rgb="FFF8696B"/>
      </colorScale>
    </cfRule>
  </conditionalFormatting>
  <conditionalFormatting sqref="N8:N27">
    <cfRule type="colorScale" priority="3">
      <colorScale>
        <cfvo type="min"/>
        <cfvo type="percentile" val="50"/>
        <cfvo type="max"/>
        <color rgb="FF63BE7B"/>
        <color rgb="FFFFEB84"/>
        <color rgb="FFF8696B"/>
      </colorScale>
    </cfRule>
  </conditionalFormatting>
  <conditionalFormatting sqref="P8:P27">
    <cfRule type="colorScale" priority="2">
      <colorScale>
        <cfvo type="min"/>
        <cfvo type="percentile" val="50"/>
        <cfvo type="max"/>
        <color rgb="FF63BE7B"/>
        <color rgb="FFFFEB84"/>
        <color rgb="FFF8696B"/>
      </colorScale>
    </cfRule>
  </conditionalFormatting>
  <conditionalFormatting sqref="Q8:Q27">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3AF4-FDC7-4F46-95DB-EDEA4C259249}">
  <sheetPr>
    <tabColor rgb="FFFFC000"/>
  </sheetPr>
  <dimension ref="A2:V602"/>
  <sheetViews>
    <sheetView workbookViewId="0"/>
  </sheetViews>
  <sheetFormatPr baseColWidth="10" defaultColWidth="11.44140625" defaultRowHeight="13.9" x14ac:dyDescent="0.25"/>
  <cols>
    <col min="1" max="1" width="3.33203125" style="73" customWidth="1"/>
    <col min="2" max="2" width="30.44140625" style="73" customWidth="1"/>
    <col min="3" max="3" width="10.5546875" style="73" bestFit="1" customWidth="1"/>
    <col min="4" max="5" width="15.6640625" style="73" customWidth="1"/>
    <col min="6" max="6" width="10.5546875" style="73" bestFit="1" customWidth="1"/>
    <col min="7" max="7" width="17" style="73" customWidth="1"/>
    <col min="8" max="8" width="15.6640625" style="73" customWidth="1"/>
    <col min="9" max="9" width="11.44140625" style="73" customWidth="1"/>
    <col min="10" max="11" width="15.6640625" style="73" customWidth="1"/>
    <col min="12" max="12" width="10.5546875" style="73" bestFit="1" customWidth="1"/>
    <col min="13" max="14" width="15.6640625" style="73" customWidth="1"/>
    <col min="15" max="15" width="10.5546875" style="73" bestFit="1" customWidth="1"/>
    <col min="16" max="17" width="15.6640625" style="73" customWidth="1"/>
    <col min="18" max="19" width="11.44140625" style="73"/>
    <col min="20" max="20" width="49" style="73" bestFit="1" customWidth="1"/>
    <col min="21" max="21" width="27.44140625" style="73" bestFit="1" customWidth="1"/>
    <col min="22" max="22" width="98.88671875" style="73" customWidth="1"/>
    <col min="23" max="16384" width="11.44140625" style="73"/>
  </cols>
  <sheetData>
    <row r="2" spans="1:17" x14ac:dyDescent="0.25">
      <c r="B2" s="383" t="s">
        <v>494</v>
      </c>
    </row>
    <row r="3" spans="1:17" ht="14.55" thickBot="1" x14ac:dyDescent="0.3"/>
    <row r="4" spans="1:17" ht="14.55" x14ac:dyDescent="0.25">
      <c r="A4" s="465"/>
      <c r="B4" s="1195" t="s">
        <v>321</v>
      </c>
      <c r="C4" s="390"/>
      <c r="D4" s="1200" t="s">
        <v>322</v>
      </c>
      <c r="E4" s="1201"/>
      <c r="F4" s="390"/>
      <c r="G4" s="1200" t="s">
        <v>323</v>
      </c>
      <c r="H4" s="1201"/>
      <c r="I4" s="390"/>
      <c r="J4" s="1200" t="s">
        <v>324</v>
      </c>
      <c r="K4" s="1201"/>
      <c r="L4" s="390"/>
      <c r="M4" s="1200" t="s">
        <v>325</v>
      </c>
      <c r="N4" s="1201"/>
      <c r="O4" s="390"/>
      <c r="P4" s="1200" t="s">
        <v>326</v>
      </c>
      <c r="Q4" s="1201"/>
    </row>
    <row r="5" spans="1:17" ht="14.55" x14ac:dyDescent="0.25">
      <c r="A5" s="465"/>
      <c r="B5" s="1196"/>
      <c r="C5" s="390"/>
      <c r="D5" s="1202" t="s">
        <v>327</v>
      </c>
      <c r="E5" s="1203"/>
      <c r="F5" s="390"/>
      <c r="G5" s="1202" t="s">
        <v>328</v>
      </c>
      <c r="H5" s="1203"/>
      <c r="I5" s="390"/>
      <c r="J5" s="1202" t="s">
        <v>329</v>
      </c>
      <c r="K5" s="1203"/>
      <c r="L5" s="390"/>
      <c r="M5" s="1202" t="s">
        <v>330</v>
      </c>
      <c r="N5" s="1203"/>
      <c r="O5" s="390"/>
      <c r="P5" s="1202" t="s">
        <v>331</v>
      </c>
      <c r="Q5" s="1203"/>
    </row>
    <row r="6" spans="1:17" ht="14.55" x14ac:dyDescent="0.25">
      <c r="A6" s="465"/>
      <c r="B6" s="1196"/>
      <c r="C6" s="390"/>
      <c r="D6" s="388" t="s">
        <v>332</v>
      </c>
      <c r="E6" s="389" t="s">
        <v>333</v>
      </c>
      <c r="F6" s="390"/>
      <c r="G6" s="388" t="s">
        <v>332</v>
      </c>
      <c r="H6" s="389" t="s">
        <v>333</v>
      </c>
      <c r="I6" s="390"/>
      <c r="J6" s="388" t="s">
        <v>332</v>
      </c>
      <c r="K6" s="389" t="s">
        <v>333</v>
      </c>
      <c r="L6" s="390"/>
      <c r="M6" s="388" t="s">
        <v>332</v>
      </c>
      <c r="N6" s="389" t="s">
        <v>333</v>
      </c>
      <c r="O6" s="390"/>
      <c r="P6" s="388" t="s">
        <v>332</v>
      </c>
      <c r="Q6" s="389" t="s">
        <v>333</v>
      </c>
    </row>
    <row r="7" spans="1:17" ht="15.2" thickBot="1" x14ac:dyDescent="0.3">
      <c r="A7" s="465"/>
      <c r="B7" s="1197"/>
      <c r="C7" s="390"/>
      <c r="D7" s="1198" t="s">
        <v>3</v>
      </c>
      <c r="E7" s="1199"/>
      <c r="F7" s="390"/>
      <c r="G7" s="1198" t="s">
        <v>3</v>
      </c>
      <c r="H7" s="1199"/>
      <c r="I7" s="390"/>
      <c r="J7" s="1198" t="s">
        <v>3</v>
      </c>
      <c r="K7" s="1199"/>
      <c r="L7" s="390"/>
      <c r="M7" s="1198" t="s">
        <v>3</v>
      </c>
      <c r="N7" s="1199"/>
      <c r="O7" s="390"/>
      <c r="P7" s="1198" t="s">
        <v>3</v>
      </c>
      <c r="Q7" s="1199"/>
    </row>
    <row r="8" spans="1:17" ht="14.55" x14ac:dyDescent="0.25">
      <c r="A8" s="465"/>
      <c r="B8" s="519">
        <v>10000</v>
      </c>
      <c r="C8" s="398"/>
      <c r="D8" s="399">
        <v>1461</v>
      </c>
      <c r="E8" s="400">
        <v>1624</v>
      </c>
      <c r="F8" s="398"/>
      <c r="G8" s="399">
        <f>E8</f>
        <v>1624</v>
      </c>
      <c r="H8" s="400">
        <v>2064</v>
      </c>
      <c r="I8" s="398"/>
      <c r="J8" s="399">
        <f>H8</f>
        <v>2064</v>
      </c>
      <c r="K8" s="400">
        <v>2575</v>
      </c>
      <c r="L8" s="398"/>
      <c r="M8" s="399">
        <f>K8</f>
        <v>2575</v>
      </c>
      <c r="N8" s="400">
        <v>3015</v>
      </c>
      <c r="O8" s="398"/>
      <c r="P8" s="399">
        <f>N8</f>
        <v>3015</v>
      </c>
      <c r="Q8" s="400">
        <v>3178</v>
      </c>
    </row>
    <row r="9" spans="1:17" ht="14.55" x14ac:dyDescent="0.25">
      <c r="A9" s="465"/>
      <c r="B9" s="519">
        <v>15000</v>
      </c>
      <c r="C9" s="398"/>
      <c r="D9" s="402">
        <v>2011</v>
      </c>
      <c r="E9" s="403">
        <v>2234</v>
      </c>
      <c r="F9" s="398"/>
      <c r="G9" s="399">
        <f t="shared" ref="G9:G26" si="0">E9</f>
        <v>2234</v>
      </c>
      <c r="H9" s="403">
        <v>2841</v>
      </c>
      <c r="I9" s="398"/>
      <c r="J9" s="399">
        <f t="shared" ref="J9:J46" si="1">H9</f>
        <v>2841</v>
      </c>
      <c r="K9" s="403">
        <v>3543</v>
      </c>
      <c r="L9" s="398"/>
      <c r="M9" s="399">
        <f t="shared" ref="M9:M46" si="2">K9</f>
        <v>3543</v>
      </c>
      <c r="N9" s="403">
        <v>4149</v>
      </c>
      <c r="O9" s="398"/>
      <c r="P9" s="399">
        <f t="shared" ref="P9:P46" si="3">N9</f>
        <v>4149</v>
      </c>
      <c r="Q9" s="403">
        <v>4373</v>
      </c>
    </row>
    <row r="10" spans="1:17" ht="14.55" x14ac:dyDescent="0.25">
      <c r="A10" s="465"/>
      <c r="B10" s="519">
        <v>25000</v>
      </c>
      <c r="C10" s="398"/>
      <c r="D10" s="402">
        <v>3006</v>
      </c>
      <c r="E10" s="403">
        <v>3340</v>
      </c>
      <c r="F10" s="398"/>
      <c r="G10" s="399">
        <f t="shared" si="0"/>
        <v>3340</v>
      </c>
      <c r="H10" s="403">
        <v>4247</v>
      </c>
      <c r="I10" s="398"/>
      <c r="J10" s="399">
        <f t="shared" si="1"/>
        <v>4247</v>
      </c>
      <c r="K10" s="403">
        <v>5296</v>
      </c>
      <c r="L10" s="398"/>
      <c r="M10" s="399">
        <f t="shared" si="2"/>
        <v>5296</v>
      </c>
      <c r="N10" s="403">
        <v>6203</v>
      </c>
      <c r="O10" s="398"/>
      <c r="P10" s="399">
        <f t="shared" si="3"/>
        <v>6203</v>
      </c>
      <c r="Q10" s="403">
        <v>6537</v>
      </c>
    </row>
    <row r="11" spans="1:17" ht="14.55" x14ac:dyDescent="0.25">
      <c r="A11" s="465"/>
      <c r="B11" s="404">
        <v>50000</v>
      </c>
      <c r="C11" s="398"/>
      <c r="D11" s="402">
        <v>5187</v>
      </c>
      <c r="E11" s="403">
        <v>5763</v>
      </c>
      <c r="F11" s="398"/>
      <c r="G11" s="399">
        <f t="shared" si="0"/>
        <v>5763</v>
      </c>
      <c r="H11" s="403">
        <v>7327</v>
      </c>
      <c r="I11" s="398"/>
      <c r="J11" s="399">
        <f t="shared" si="1"/>
        <v>7327</v>
      </c>
      <c r="K11" s="403">
        <v>9139</v>
      </c>
      <c r="L11" s="398"/>
      <c r="M11" s="399">
        <f t="shared" si="2"/>
        <v>9139</v>
      </c>
      <c r="N11" s="403">
        <v>10703</v>
      </c>
      <c r="O11" s="398"/>
      <c r="P11" s="399">
        <f t="shared" si="3"/>
        <v>10703</v>
      </c>
      <c r="Q11" s="403">
        <v>11279</v>
      </c>
    </row>
    <row r="12" spans="1:17" ht="14.55" x14ac:dyDescent="0.25">
      <c r="A12" s="465"/>
      <c r="B12" s="404">
        <v>75000</v>
      </c>
      <c r="C12" s="398"/>
      <c r="D12" s="402">
        <v>7135</v>
      </c>
      <c r="E12" s="403">
        <v>7928</v>
      </c>
      <c r="F12" s="398"/>
      <c r="G12" s="399">
        <f t="shared" si="0"/>
        <v>7928</v>
      </c>
      <c r="H12" s="403">
        <v>10080</v>
      </c>
      <c r="I12" s="398"/>
      <c r="J12" s="399">
        <f t="shared" si="1"/>
        <v>10080</v>
      </c>
      <c r="K12" s="403">
        <v>12572</v>
      </c>
      <c r="L12" s="398"/>
      <c r="M12" s="399">
        <f t="shared" si="2"/>
        <v>12572</v>
      </c>
      <c r="N12" s="403">
        <v>14724</v>
      </c>
      <c r="O12" s="398"/>
      <c r="P12" s="399">
        <f t="shared" si="3"/>
        <v>14724</v>
      </c>
      <c r="Q12" s="403">
        <v>15517</v>
      </c>
    </row>
    <row r="13" spans="1:17" ht="14.55" x14ac:dyDescent="0.25">
      <c r="A13" s="465"/>
      <c r="B13" s="404">
        <v>100000</v>
      </c>
      <c r="C13" s="398"/>
      <c r="D13" s="402">
        <v>8946</v>
      </c>
      <c r="E13" s="403">
        <v>9940</v>
      </c>
      <c r="F13" s="398"/>
      <c r="G13" s="399">
        <f t="shared" si="0"/>
        <v>9940</v>
      </c>
      <c r="H13" s="403">
        <v>12639</v>
      </c>
      <c r="I13" s="398"/>
      <c r="J13" s="399">
        <f t="shared" si="1"/>
        <v>12639</v>
      </c>
      <c r="K13" s="403">
        <v>15763</v>
      </c>
      <c r="L13" s="398"/>
      <c r="M13" s="399">
        <f t="shared" si="2"/>
        <v>15763</v>
      </c>
      <c r="N13" s="403">
        <v>18461</v>
      </c>
      <c r="O13" s="398"/>
      <c r="P13" s="399">
        <f t="shared" si="3"/>
        <v>18461</v>
      </c>
      <c r="Q13" s="403">
        <v>19455</v>
      </c>
    </row>
    <row r="14" spans="1:17" ht="14.55" x14ac:dyDescent="0.25">
      <c r="A14" s="465"/>
      <c r="B14" s="404">
        <v>150000</v>
      </c>
      <c r="C14" s="398"/>
      <c r="D14" s="402">
        <v>12303</v>
      </c>
      <c r="E14" s="403">
        <v>13670</v>
      </c>
      <c r="F14" s="398"/>
      <c r="G14" s="399">
        <f t="shared" si="0"/>
        <v>13670</v>
      </c>
      <c r="H14" s="403">
        <v>17380</v>
      </c>
      <c r="I14" s="398"/>
      <c r="J14" s="399">
        <f t="shared" si="1"/>
        <v>17380</v>
      </c>
      <c r="K14" s="403">
        <v>21677</v>
      </c>
      <c r="L14" s="398"/>
      <c r="M14" s="399">
        <f t="shared" si="2"/>
        <v>21677</v>
      </c>
      <c r="N14" s="403">
        <v>25387</v>
      </c>
      <c r="O14" s="398"/>
      <c r="P14" s="399">
        <f t="shared" si="3"/>
        <v>25387</v>
      </c>
      <c r="Q14" s="403">
        <v>26754</v>
      </c>
    </row>
    <row r="15" spans="1:17" ht="14.55" x14ac:dyDescent="0.25">
      <c r="A15" s="465"/>
      <c r="B15" s="404">
        <v>250000</v>
      </c>
      <c r="C15" s="398"/>
      <c r="D15" s="402">
        <v>19307</v>
      </c>
      <c r="E15" s="403">
        <v>20411</v>
      </c>
      <c r="F15" s="398"/>
      <c r="G15" s="399">
        <f t="shared" si="0"/>
        <v>20411</v>
      </c>
      <c r="H15" s="403">
        <v>25951</v>
      </c>
      <c r="I15" s="398"/>
      <c r="J15" s="399">
        <f t="shared" si="1"/>
        <v>25951</v>
      </c>
      <c r="K15" s="403">
        <v>32365</v>
      </c>
      <c r="L15" s="398"/>
      <c r="M15" s="399">
        <f t="shared" si="2"/>
        <v>32365</v>
      </c>
      <c r="N15" s="403">
        <v>37906</v>
      </c>
      <c r="O15" s="398"/>
      <c r="P15" s="399">
        <f t="shared" si="3"/>
        <v>37906</v>
      </c>
      <c r="Q15" s="403">
        <v>39947</v>
      </c>
    </row>
    <row r="16" spans="1:17" ht="14.55" x14ac:dyDescent="0.25">
      <c r="A16" s="465"/>
      <c r="B16" s="404">
        <v>350000</v>
      </c>
      <c r="C16" s="398"/>
      <c r="D16" s="402">
        <v>23909</v>
      </c>
      <c r="E16" s="403">
        <v>26565</v>
      </c>
      <c r="F16" s="398"/>
      <c r="G16" s="399">
        <f t="shared" si="0"/>
        <v>26565</v>
      </c>
      <c r="H16" s="403">
        <v>33776</v>
      </c>
      <c r="I16" s="398"/>
      <c r="J16" s="399">
        <f t="shared" si="1"/>
        <v>33776</v>
      </c>
      <c r="K16" s="403">
        <v>42125</v>
      </c>
      <c r="L16" s="398"/>
      <c r="M16" s="399">
        <f t="shared" si="2"/>
        <v>42125</v>
      </c>
      <c r="N16" s="403">
        <v>49335</v>
      </c>
      <c r="O16" s="398"/>
      <c r="P16" s="399">
        <f t="shared" si="3"/>
        <v>49335</v>
      </c>
      <c r="Q16" s="403">
        <v>51992</v>
      </c>
    </row>
    <row r="17" spans="1:19" ht="14.55" x14ac:dyDescent="0.25">
      <c r="A17" s="465"/>
      <c r="B17" s="404">
        <v>500000</v>
      </c>
      <c r="C17" s="398"/>
      <c r="D17" s="402">
        <v>31594</v>
      </c>
      <c r="E17" s="403">
        <v>35105</v>
      </c>
      <c r="F17" s="398"/>
      <c r="G17" s="399">
        <f t="shared" si="0"/>
        <v>35105</v>
      </c>
      <c r="H17" s="403">
        <v>44633</v>
      </c>
      <c r="I17" s="398"/>
      <c r="J17" s="399">
        <f t="shared" si="1"/>
        <v>44633</v>
      </c>
      <c r="K17" s="403">
        <v>55666</v>
      </c>
      <c r="L17" s="398"/>
      <c r="M17" s="399">
        <f t="shared" si="2"/>
        <v>55666</v>
      </c>
      <c r="N17" s="403">
        <v>65194</v>
      </c>
      <c r="O17" s="398"/>
      <c r="P17" s="399">
        <f t="shared" si="3"/>
        <v>65194</v>
      </c>
      <c r="Q17" s="403">
        <v>68705</v>
      </c>
    </row>
    <row r="18" spans="1:19" ht="14.55" x14ac:dyDescent="0.25">
      <c r="A18" s="465"/>
      <c r="B18" s="404">
        <v>750000</v>
      </c>
      <c r="C18" s="398"/>
      <c r="D18" s="402">
        <v>43463</v>
      </c>
      <c r="E18" s="403">
        <v>46293</v>
      </c>
      <c r="F18" s="398"/>
      <c r="G18" s="399">
        <f t="shared" si="0"/>
        <v>46293</v>
      </c>
      <c r="H18" s="403">
        <v>61401</v>
      </c>
      <c r="I18" s="398"/>
      <c r="J18" s="399">
        <f t="shared" si="1"/>
        <v>61401</v>
      </c>
      <c r="K18" s="403">
        <v>76578</v>
      </c>
      <c r="L18" s="398"/>
      <c r="M18" s="399">
        <f t="shared" si="2"/>
        <v>76578</v>
      </c>
      <c r="N18" s="403">
        <v>89686</v>
      </c>
      <c r="O18" s="398"/>
      <c r="P18" s="399">
        <f t="shared" si="3"/>
        <v>89686</v>
      </c>
      <c r="Q18" s="403">
        <v>94515</v>
      </c>
    </row>
    <row r="19" spans="1:19" ht="14.55" x14ac:dyDescent="0.25">
      <c r="A19" s="465"/>
      <c r="B19" s="404">
        <v>1000000</v>
      </c>
      <c r="C19" s="398"/>
      <c r="D19" s="402">
        <v>54495</v>
      </c>
      <c r="E19" s="403">
        <v>60550</v>
      </c>
      <c r="F19" s="398"/>
      <c r="G19" s="399">
        <f t="shared" si="0"/>
        <v>60550</v>
      </c>
      <c r="H19" s="403">
        <v>76984</v>
      </c>
      <c r="I19" s="398"/>
      <c r="J19" s="399">
        <f t="shared" si="1"/>
        <v>76984</v>
      </c>
      <c r="K19" s="403">
        <v>96014</v>
      </c>
      <c r="L19" s="398"/>
      <c r="M19" s="399">
        <f t="shared" si="2"/>
        <v>96014</v>
      </c>
      <c r="N19" s="403">
        <v>112449</v>
      </c>
      <c r="O19" s="398"/>
      <c r="P19" s="399">
        <f t="shared" si="3"/>
        <v>112449</v>
      </c>
      <c r="Q19" s="403">
        <v>118504</v>
      </c>
    </row>
    <row r="20" spans="1:19" ht="14.55" x14ac:dyDescent="0.25">
      <c r="A20" s="465"/>
      <c r="B20" s="404">
        <v>1250000</v>
      </c>
      <c r="C20" s="398"/>
      <c r="D20" s="402">
        <v>65940</v>
      </c>
      <c r="E20" s="403">
        <v>72155</v>
      </c>
      <c r="F20" s="398"/>
      <c r="G20" s="399">
        <f t="shared" si="0"/>
        <v>72155</v>
      </c>
      <c r="H20" s="403">
        <v>91740</v>
      </c>
      <c r="I20" s="398"/>
      <c r="J20" s="399">
        <f t="shared" si="1"/>
        <v>91740</v>
      </c>
      <c r="K20" s="403">
        <v>114418</v>
      </c>
      <c r="L20" s="398"/>
      <c r="M20" s="399">
        <f t="shared" si="2"/>
        <v>114418</v>
      </c>
      <c r="N20" s="403">
        <v>134003</v>
      </c>
      <c r="O20" s="398"/>
      <c r="P20" s="399">
        <f t="shared" si="3"/>
        <v>134003</v>
      </c>
      <c r="Q20" s="403">
        <v>141218</v>
      </c>
    </row>
    <row r="21" spans="1:19" ht="14.55" x14ac:dyDescent="0.25">
      <c r="A21" s="465"/>
      <c r="B21" s="404">
        <v>1500000</v>
      </c>
      <c r="C21" s="398"/>
      <c r="D21" s="402">
        <v>74938</v>
      </c>
      <c r="E21" s="403">
        <v>83265</v>
      </c>
      <c r="F21" s="398"/>
      <c r="G21" s="399">
        <f t="shared" si="0"/>
        <v>83265</v>
      </c>
      <c r="H21" s="403">
        <v>105865</v>
      </c>
      <c r="I21" s="398"/>
      <c r="J21" s="399">
        <f t="shared" si="1"/>
        <v>105865</v>
      </c>
      <c r="K21" s="403">
        <v>132034</v>
      </c>
      <c r="L21" s="398"/>
      <c r="M21" s="399">
        <f t="shared" si="2"/>
        <v>132034</v>
      </c>
      <c r="N21" s="403">
        <v>154635</v>
      </c>
      <c r="O21" s="398"/>
      <c r="P21" s="399">
        <f t="shared" si="3"/>
        <v>154635</v>
      </c>
      <c r="Q21" s="403">
        <v>162961</v>
      </c>
    </row>
    <row r="22" spans="1:19" ht="14.55" x14ac:dyDescent="0.25">
      <c r="A22" s="465"/>
      <c r="B22" s="404">
        <v>2000000</v>
      </c>
      <c r="C22" s="398"/>
      <c r="D22" s="402">
        <v>93923</v>
      </c>
      <c r="E22" s="403">
        <v>104358</v>
      </c>
      <c r="F22" s="398"/>
      <c r="G22" s="399">
        <f t="shared" si="0"/>
        <v>104358</v>
      </c>
      <c r="H22" s="403">
        <v>132684</v>
      </c>
      <c r="I22" s="398"/>
      <c r="J22" s="399">
        <f t="shared" si="1"/>
        <v>132684</v>
      </c>
      <c r="K22" s="403">
        <v>165483</v>
      </c>
      <c r="L22" s="398"/>
      <c r="M22" s="399">
        <f t="shared" si="2"/>
        <v>165483</v>
      </c>
      <c r="N22" s="403">
        <v>193808</v>
      </c>
      <c r="O22" s="398"/>
      <c r="P22" s="399">
        <f t="shared" si="3"/>
        <v>193808</v>
      </c>
      <c r="Q22" s="403">
        <v>204244</v>
      </c>
    </row>
    <row r="23" spans="1:19" ht="14.55" x14ac:dyDescent="0.25">
      <c r="A23" s="465"/>
      <c r="B23" s="404">
        <v>3000000</v>
      </c>
      <c r="C23" s="398"/>
      <c r="D23" s="402">
        <v>129059</v>
      </c>
      <c r="E23" s="403">
        <v>143398</v>
      </c>
      <c r="F23" s="398"/>
      <c r="G23" s="399">
        <f t="shared" si="0"/>
        <v>143398</v>
      </c>
      <c r="H23" s="403">
        <v>182321</v>
      </c>
      <c r="I23" s="398"/>
      <c r="J23" s="399">
        <f t="shared" si="1"/>
        <v>182321</v>
      </c>
      <c r="K23" s="403">
        <v>227389</v>
      </c>
      <c r="L23" s="398"/>
      <c r="M23" s="399">
        <f t="shared" si="2"/>
        <v>227389</v>
      </c>
      <c r="N23" s="403">
        <v>266311</v>
      </c>
      <c r="O23" s="398"/>
      <c r="P23" s="399">
        <f t="shared" si="3"/>
        <v>266311</v>
      </c>
      <c r="Q23" s="403">
        <v>280651</v>
      </c>
    </row>
    <row r="24" spans="1:19" ht="14.55" x14ac:dyDescent="0.25">
      <c r="A24" s="465"/>
      <c r="B24" s="404">
        <v>5000000</v>
      </c>
      <c r="C24" s="398"/>
      <c r="D24" s="402">
        <v>192384</v>
      </c>
      <c r="E24" s="403">
        <v>216760</v>
      </c>
      <c r="F24" s="398"/>
      <c r="G24" s="399">
        <f t="shared" si="0"/>
        <v>216760</v>
      </c>
      <c r="H24" s="403">
        <v>271781</v>
      </c>
      <c r="I24" s="398"/>
      <c r="J24" s="399">
        <f t="shared" si="1"/>
        <v>271781</v>
      </c>
      <c r="K24" s="403">
        <v>338962</v>
      </c>
      <c r="L24" s="398"/>
      <c r="M24" s="399">
        <f t="shared" si="2"/>
        <v>338962</v>
      </c>
      <c r="N24" s="403">
        <v>396983</v>
      </c>
      <c r="O24" s="398"/>
      <c r="P24" s="399">
        <f t="shared" si="3"/>
        <v>396983</v>
      </c>
      <c r="Q24" s="403">
        <v>418359</v>
      </c>
    </row>
    <row r="25" spans="1:19" ht="14.55" x14ac:dyDescent="0.25">
      <c r="A25" s="465"/>
      <c r="B25" s="404">
        <v>7500000</v>
      </c>
      <c r="C25" s="398"/>
      <c r="D25" s="402">
        <v>264487</v>
      </c>
      <c r="E25" s="403">
        <v>293874</v>
      </c>
      <c r="F25" s="398"/>
      <c r="G25" s="399">
        <f t="shared" si="0"/>
        <v>293874</v>
      </c>
      <c r="H25" s="403">
        <v>373640</v>
      </c>
      <c r="I25" s="398"/>
      <c r="J25" s="399">
        <f t="shared" si="1"/>
        <v>373640</v>
      </c>
      <c r="K25" s="403">
        <v>466001</v>
      </c>
      <c r="L25" s="398"/>
      <c r="M25" s="399">
        <f t="shared" si="2"/>
        <v>466001</v>
      </c>
      <c r="N25" s="403">
        <v>545767</v>
      </c>
      <c r="O25" s="398"/>
      <c r="P25" s="399">
        <f t="shared" si="3"/>
        <v>545767</v>
      </c>
      <c r="Q25" s="403">
        <v>575154</v>
      </c>
    </row>
    <row r="26" spans="1:19" ht="14.55" x14ac:dyDescent="0.25">
      <c r="A26" s="465"/>
      <c r="B26" s="404">
        <v>10000000</v>
      </c>
      <c r="C26" s="398"/>
      <c r="D26" s="402">
        <v>331398</v>
      </c>
      <c r="E26" s="403">
        <v>368220</v>
      </c>
      <c r="F26" s="398"/>
      <c r="G26" s="399">
        <f t="shared" si="0"/>
        <v>368220</v>
      </c>
      <c r="H26" s="403">
        <v>468166</v>
      </c>
      <c r="I26" s="398"/>
      <c r="J26" s="399">
        <f t="shared" si="1"/>
        <v>468166</v>
      </c>
      <c r="K26" s="403">
        <v>583892</v>
      </c>
      <c r="L26" s="398"/>
      <c r="M26" s="399">
        <f t="shared" si="2"/>
        <v>583892</v>
      </c>
      <c r="N26" s="403">
        <v>683838</v>
      </c>
      <c r="O26" s="398"/>
      <c r="P26" s="399">
        <f t="shared" si="3"/>
        <v>683838</v>
      </c>
      <c r="Q26" s="403">
        <v>720660</v>
      </c>
    </row>
    <row r="27" spans="1:19" ht="15.2" thickBot="1" x14ac:dyDescent="0.3">
      <c r="A27" s="465"/>
      <c r="B27" s="404">
        <v>15000000</v>
      </c>
      <c r="C27" s="398"/>
      <c r="D27" s="402">
        <v>455117</v>
      </c>
      <c r="E27" s="403">
        <v>505686</v>
      </c>
      <c r="F27" s="398"/>
      <c r="G27" s="399">
        <f t="shared" ref="G27:G46" si="4">E27</f>
        <v>505686</v>
      </c>
      <c r="H27" s="403">
        <v>642943</v>
      </c>
      <c r="I27" s="398"/>
      <c r="J27" s="399">
        <f t="shared" si="1"/>
        <v>642943</v>
      </c>
      <c r="K27" s="403">
        <v>801837</v>
      </c>
      <c r="L27" s="398"/>
      <c r="M27" s="399">
        <f t="shared" si="2"/>
        <v>801837</v>
      </c>
      <c r="N27" s="403">
        <v>939131</v>
      </c>
      <c r="O27" s="398"/>
      <c r="P27" s="399">
        <f t="shared" si="3"/>
        <v>939131</v>
      </c>
      <c r="Q27" s="403">
        <v>959699</v>
      </c>
    </row>
    <row r="28" spans="1:19" ht="14.55" x14ac:dyDescent="0.25">
      <c r="A28" s="465"/>
      <c r="B28" s="404">
        <v>16000000</v>
      </c>
      <c r="C28" s="1255" t="s">
        <v>334</v>
      </c>
      <c r="D28" s="402">
        <v>478749</v>
      </c>
      <c r="E28" s="403">
        <v>478749</v>
      </c>
      <c r="F28" s="1255" t="s">
        <v>334</v>
      </c>
      <c r="G28" s="402">
        <f t="shared" si="4"/>
        <v>478749</v>
      </c>
      <c r="H28" s="403">
        <v>676328</v>
      </c>
      <c r="I28" s="1255" t="s">
        <v>334</v>
      </c>
      <c r="J28" s="402">
        <f t="shared" si="1"/>
        <v>676328</v>
      </c>
      <c r="K28" s="403">
        <v>843510</v>
      </c>
      <c r="L28" s="1255" t="s">
        <v>334</v>
      </c>
      <c r="M28" s="402">
        <f t="shared" si="2"/>
        <v>843510</v>
      </c>
      <c r="N28" s="403">
        <v>987895</v>
      </c>
      <c r="O28" s="1255" t="s">
        <v>334</v>
      </c>
      <c r="P28" s="402">
        <f t="shared" si="3"/>
        <v>987895</v>
      </c>
      <c r="Q28" s="403">
        <v>1041089</v>
      </c>
      <c r="S28" s="522"/>
    </row>
    <row r="29" spans="1:19" ht="14.55" x14ac:dyDescent="0.25">
      <c r="A29" s="465"/>
      <c r="B29" s="404">
        <v>17000000</v>
      </c>
      <c r="C29" s="1256"/>
      <c r="D29" s="402">
        <v>502064</v>
      </c>
      <c r="E29" s="403">
        <v>502064</v>
      </c>
      <c r="F29" s="1256"/>
      <c r="G29" s="402">
        <f t="shared" si="4"/>
        <v>502064</v>
      </c>
      <c r="H29" s="403">
        <v>709266</v>
      </c>
      <c r="I29" s="1256"/>
      <c r="J29" s="402">
        <f t="shared" si="1"/>
        <v>709266</v>
      </c>
      <c r="K29" s="403">
        <v>884590</v>
      </c>
      <c r="L29" s="1256"/>
      <c r="M29" s="402">
        <f t="shared" si="2"/>
        <v>884590</v>
      </c>
      <c r="N29" s="403">
        <v>1036006</v>
      </c>
      <c r="O29" s="1256"/>
      <c r="P29" s="402">
        <f t="shared" si="3"/>
        <v>1036006</v>
      </c>
      <c r="Q29" s="403">
        <v>1091791</v>
      </c>
      <c r="S29" s="522"/>
    </row>
    <row r="30" spans="1:19" ht="14.55" x14ac:dyDescent="0.25">
      <c r="A30" s="465"/>
      <c r="B30" s="404">
        <v>18000000</v>
      </c>
      <c r="C30" s="1256"/>
      <c r="D30" s="402">
        <v>525085</v>
      </c>
      <c r="E30" s="403">
        <v>525085</v>
      </c>
      <c r="F30" s="1256"/>
      <c r="G30" s="402">
        <f t="shared" si="4"/>
        <v>525085</v>
      </c>
      <c r="H30" s="403">
        <v>741787</v>
      </c>
      <c r="I30" s="1256"/>
      <c r="J30" s="402">
        <f t="shared" si="1"/>
        <v>741787</v>
      </c>
      <c r="K30" s="403">
        <v>925151</v>
      </c>
      <c r="L30" s="1256"/>
      <c r="M30" s="402">
        <f t="shared" si="2"/>
        <v>925151</v>
      </c>
      <c r="N30" s="403">
        <v>1083510</v>
      </c>
      <c r="O30" s="1256"/>
      <c r="P30" s="402">
        <f t="shared" si="3"/>
        <v>1083510</v>
      </c>
      <c r="Q30" s="403">
        <v>1141853</v>
      </c>
      <c r="S30" s="522"/>
    </row>
    <row r="31" spans="1:19" ht="14.55" x14ac:dyDescent="0.25">
      <c r="A31" s="465"/>
      <c r="B31" s="404">
        <v>19000000</v>
      </c>
      <c r="C31" s="1256"/>
      <c r="D31" s="402">
        <v>547832</v>
      </c>
      <c r="E31" s="403">
        <v>547832</v>
      </c>
      <c r="F31" s="1256"/>
      <c r="G31" s="402">
        <f t="shared" si="4"/>
        <v>547832</v>
      </c>
      <c r="H31" s="403">
        <v>773921</v>
      </c>
      <c r="I31" s="1256"/>
      <c r="J31" s="402">
        <f t="shared" si="1"/>
        <v>773921</v>
      </c>
      <c r="K31" s="403">
        <v>965228</v>
      </c>
      <c r="L31" s="1256"/>
      <c r="M31" s="402">
        <f t="shared" si="2"/>
        <v>965228</v>
      </c>
      <c r="N31" s="403">
        <v>1130447</v>
      </c>
      <c r="O31" s="1256"/>
      <c r="P31" s="402">
        <f t="shared" si="3"/>
        <v>1130447</v>
      </c>
      <c r="Q31" s="403">
        <v>1191317</v>
      </c>
      <c r="S31" s="522"/>
    </row>
    <row r="32" spans="1:19" ht="14.55" x14ac:dyDescent="0.25">
      <c r="A32" s="465"/>
      <c r="B32" s="404">
        <v>20000000</v>
      </c>
      <c r="C32" s="1256"/>
      <c r="D32" s="402">
        <v>570321</v>
      </c>
      <c r="E32" s="403">
        <v>570321</v>
      </c>
      <c r="F32" s="1256"/>
      <c r="G32" s="402">
        <f t="shared" si="4"/>
        <v>570321</v>
      </c>
      <c r="H32" s="403">
        <v>805692</v>
      </c>
      <c r="I32" s="1256"/>
      <c r="J32" s="402">
        <f t="shared" si="1"/>
        <v>805692</v>
      </c>
      <c r="K32" s="403">
        <v>1004852</v>
      </c>
      <c r="L32" s="1256"/>
      <c r="M32" s="402">
        <f t="shared" si="2"/>
        <v>1004852</v>
      </c>
      <c r="N32" s="403">
        <v>1176854</v>
      </c>
      <c r="O32" s="1256"/>
      <c r="P32" s="402">
        <f t="shared" si="3"/>
        <v>1176854</v>
      </c>
      <c r="Q32" s="403">
        <v>1240223</v>
      </c>
      <c r="S32" s="522"/>
    </row>
    <row r="33" spans="1:19" ht="14.55" x14ac:dyDescent="0.25">
      <c r="A33" s="465"/>
      <c r="B33" s="404">
        <v>25000000</v>
      </c>
      <c r="C33" s="1256"/>
      <c r="D33" s="402">
        <v>679404</v>
      </c>
      <c r="E33" s="403">
        <v>679404</v>
      </c>
      <c r="F33" s="1256"/>
      <c r="G33" s="402">
        <f t="shared" si="4"/>
        <v>679404</v>
      </c>
      <c r="H33" s="403">
        <v>959793</v>
      </c>
      <c r="I33" s="1256"/>
      <c r="J33" s="402">
        <f t="shared" si="1"/>
        <v>959793</v>
      </c>
      <c r="K33" s="403">
        <v>1197046</v>
      </c>
      <c r="L33" s="1256"/>
      <c r="M33" s="402">
        <f t="shared" si="2"/>
        <v>1197046</v>
      </c>
      <c r="N33" s="403">
        <v>1401945</v>
      </c>
      <c r="O33" s="1256"/>
      <c r="P33" s="402">
        <f t="shared" si="3"/>
        <v>1401945</v>
      </c>
      <c r="Q33" s="403">
        <v>1477435</v>
      </c>
      <c r="S33" s="522"/>
    </row>
    <row r="34" spans="1:19" ht="14.55" x14ac:dyDescent="0.25">
      <c r="A34" s="465"/>
      <c r="B34" s="404">
        <v>30000000</v>
      </c>
      <c r="C34" s="1256"/>
      <c r="D34" s="402">
        <v>783844</v>
      </c>
      <c r="E34" s="403">
        <v>783844</v>
      </c>
      <c r="F34" s="1256"/>
      <c r="G34" s="402">
        <f t="shared" si="4"/>
        <v>783844</v>
      </c>
      <c r="H34" s="403">
        <v>1107335</v>
      </c>
      <c r="I34" s="1256"/>
      <c r="J34" s="402">
        <f t="shared" si="1"/>
        <v>1107335</v>
      </c>
      <c r="K34" s="403">
        <v>1381058</v>
      </c>
      <c r="L34" s="1256"/>
      <c r="M34" s="402">
        <f t="shared" si="2"/>
        <v>1381058</v>
      </c>
      <c r="N34" s="403">
        <v>1617455</v>
      </c>
      <c r="O34" s="1256"/>
      <c r="P34" s="402">
        <f t="shared" si="3"/>
        <v>1617455</v>
      </c>
      <c r="Q34" s="403">
        <v>1704549</v>
      </c>
      <c r="S34" s="522"/>
    </row>
    <row r="35" spans="1:19" ht="14.55" x14ac:dyDescent="0.25">
      <c r="A35" s="465"/>
      <c r="B35" s="404">
        <v>35000000</v>
      </c>
      <c r="C35" s="1256"/>
      <c r="D35" s="402">
        <v>884573</v>
      </c>
      <c r="E35" s="403">
        <v>884573</v>
      </c>
      <c r="F35" s="1256"/>
      <c r="G35" s="402">
        <f t="shared" si="4"/>
        <v>884573</v>
      </c>
      <c r="H35" s="403">
        <v>1249634</v>
      </c>
      <c r="I35" s="1256"/>
      <c r="J35" s="402">
        <f t="shared" si="1"/>
        <v>1249634</v>
      </c>
      <c r="K35" s="403">
        <v>1558533</v>
      </c>
      <c r="L35" s="1256"/>
      <c r="M35" s="402">
        <f t="shared" si="2"/>
        <v>1558533</v>
      </c>
      <c r="N35" s="403">
        <v>1825309</v>
      </c>
      <c r="O35" s="1256"/>
      <c r="P35" s="402">
        <f t="shared" si="3"/>
        <v>1825309</v>
      </c>
      <c r="Q35" s="403">
        <v>1923595</v>
      </c>
      <c r="S35" s="522"/>
    </row>
    <row r="36" spans="1:19" ht="14.55" x14ac:dyDescent="0.25">
      <c r="A36" s="465"/>
      <c r="B36" s="404">
        <v>40000000</v>
      </c>
      <c r="C36" s="1256"/>
      <c r="D36" s="402">
        <v>982230</v>
      </c>
      <c r="E36" s="403">
        <v>982230</v>
      </c>
      <c r="F36" s="1256"/>
      <c r="G36" s="402">
        <f t="shared" si="4"/>
        <v>982230</v>
      </c>
      <c r="H36" s="403">
        <v>1387595</v>
      </c>
      <c r="I36" s="1256"/>
      <c r="J36" s="402">
        <f t="shared" si="1"/>
        <v>1387595</v>
      </c>
      <c r="K36" s="403">
        <v>1730596</v>
      </c>
      <c r="L36" s="1256"/>
      <c r="M36" s="402">
        <f t="shared" si="2"/>
        <v>1730596</v>
      </c>
      <c r="N36" s="403">
        <v>2026824</v>
      </c>
      <c r="O36" s="1256"/>
      <c r="P36" s="402">
        <f t="shared" si="3"/>
        <v>2026824</v>
      </c>
      <c r="Q36" s="403">
        <v>2135961</v>
      </c>
      <c r="S36" s="522"/>
    </row>
    <row r="37" spans="1:19" ht="14.55" x14ac:dyDescent="0.25">
      <c r="A37" s="465"/>
      <c r="B37" s="404">
        <v>45000000</v>
      </c>
      <c r="C37" s="1256"/>
      <c r="D37" s="402">
        <v>1077279</v>
      </c>
      <c r="E37" s="403">
        <v>1077279</v>
      </c>
      <c r="F37" s="1256"/>
      <c r="G37" s="402">
        <f t="shared" si="4"/>
        <v>1077279</v>
      </c>
      <c r="H37" s="403">
        <v>1521870</v>
      </c>
      <c r="I37" s="1256"/>
      <c r="J37" s="402">
        <f t="shared" si="1"/>
        <v>1521870</v>
      </c>
      <c r="K37" s="403">
        <v>1898063</v>
      </c>
      <c r="L37" s="1256"/>
      <c r="M37" s="402">
        <f t="shared" si="2"/>
        <v>1898063</v>
      </c>
      <c r="N37" s="403">
        <v>2222956</v>
      </c>
      <c r="O37" s="1256"/>
      <c r="P37" s="402">
        <f t="shared" si="3"/>
        <v>2222956</v>
      </c>
      <c r="Q37" s="403">
        <v>2342654</v>
      </c>
      <c r="S37" s="522"/>
    </row>
    <row r="38" spans="1:19" ht="14.55" x14ac:dyDescent="0.25">
      <c r="A38" s="465"/>
      <c r="B38" s="404">
        <v>50000000</v>
      </c>
      <c r="C38" s="1256"/>
      <c r="D38" s="402">
        <v>1170068</v>
      </c>
      <c r="E38" s="403">
        <v>1170068</v>
      </c>
      <c r="F38" s="1256"/>
      <c r="G38" s="402">
        <f t="shared" si="4"/>
        <v>1170068</v>
      </c>
      <c r="H38" s="403">
        <v>1652954</v>
      </c>
      <c r="I38" s="1256"/>
      <c r="J38" s="402">
        <f t="shared" si="1"/>
        <v>1652954</v>
      </c>
      <c r="K38" s="403">
        <v>2061549</v>
      </c>
      <c r="L38" s="1256"/>
      <c r="M38" s="402">
        <f t="shared" si="2"/>
        <v>2061549</v>
      </c>
      <c r="N38" s="403">
        <v>2414427</v>
      </c>
      <c r="O38" s="1256"/>
      <c r="P38" s="402">
        <f t="shared" si="3"/>
        <v>2414427</v>
      </c>
      <c r="Q38" s="403">
        <v>2544434</v>
      </c>
      <c r="S38" s="522"/>
    </row>
    <row r="39" spans="1:19" ht="14.55" x14ac:dyDescent="0.25">
      <c r="A39" s="465"/>
      <c r="B39" s="404">
        <v>75000000</v>
      </c>
      <c r="C39" s="1256"/>
      <c r="D39" s="402">
        <v>1608031</v>
      </c>
      <c r="E39" s="403">
        <v>1608031</v>
      </c>
      <c r="F39" s="1256"/>
      <c r="G39" s="402">
        <f t="shared" si="4"/>
        <v>1608031</v>
      </c>
      <c r="H39" s="403">
        <v>2271663</v>
      </c>
      <c r="I39" s="1256"/>
      <c r="J39" s="402">
        <f t="shared" si="1"/>
        <v>2271663</v>
      </c>
      <c r="K39" s="403">
        <v>2833197</v>
      </c>
      <c r="L39" s="1256"/>
      <c r="M39" s="402">
        <f t="shared" si="2"/>
        <v>2833197</v>
      </c>
      <c r="N39" s="403">
        <v>3318159</v>
      </c>
      <c r="O39" s="1256"/>
      <c r="P39" s="402">
        <f t="shared" si="3"/>
        <v>3318159</v>
      </c>
      <c r="Q39" s="403">
        <v>3496829</v>
      </c>
      <c r="S39" s="522"/>
    </row>
    <row r="40" spans="1:19" ht="14.55" x14ac:dyDescent="0.25">
      <c r="A40" s="465"/>
      <c r="B40" s="404">
        <v>100000000</v>
      </c>
      <c r="C40" s="1256"/>
      <c r="D40" s="402">
        <v>2014920</v>
      </c>
      <c r="E40" s="403">
        <v>2014920</v>
      </c>
      <c r="F40" s="1256"/>
      <c r="G40" s="402">
        <f t="shared" si="4"/>
        <v>2014920</v>
      </c>
      <c r="H40" s="403">
        <v>2846474</v>
      </c>
      <c r="I40" s="1256"/>
      <c r="J40" s="402">
        <f t="shared" si="1"/>
        <v>2846474</v>
      </c>
      <c r="K40" s="403">
        <v>3550097</v>
      </c>
      <c r="L40" s="1256"/>
      <c r="M40" s="402">
        <f t="shared" si="2"/>
        <v>3550097</v>
      </c>
      <c r="N40" s="403">
        <v>4157771</v>
      </c>
      <c r="O40" s="1256"/>
      <c r="P40" s="402">
        <f t="shared" si="3"/>
        <v>4157771</v>
      </c>
      <c r="Q40" s="403">
        <v>4381651</v>
      </c>
      <c r="S40" s="522"/>
    </row>
    <row r="41" spans="1:19" ht="14.55" x14ac:dyDescent="0.25">
      <c r="A41" s="465"/>
      <c r="B41" s="404">
        <v>125000000</v>
      </c>
      <c r="C41" s="1256"/>
      <c r="D41" s="402">
        <v>2400154</v>
      </c>
      <c r="E41" s="403">
        <v>2400154</v>
      </c>
      <c r="F41" s="1256"/>
      <c r="G41" s="402">
        <f t="shared" si="4"/>
        <v>2400154</v>
      </c>
      <c r="H41" s="403">
        <v>3390694</v>
      </c>
      <c r="I41" s="1256"/>
      <c r="J41" s="402">
        <f t="shared" si="1"/>
        <v>3390694</v>
      </c>
      <c r="K41" s="403">
        <v>4228843</v>
      </c>
      <c r="L41" s="1256"/>
      <c r="M41" s="402">
        <f t="shared" si="2"/>
        <v>4228843</v>
      </c>
      <c r="N41" s="403">
        <v>4952699</v>
      </c>
      <c r="O41" s="1256"/>
      <c r="P41" s="402">
        <f t="shared" si="3"/>
        <v>4952699</v>
      </c>
      <c r="Q41" s="403">
        <v>5219383</v>
      </c>
      <c r="S41" s="522"/>
    </row>
    <row r="42" spans="1:19" ht="14.55" x14ac:dyDescent="0.25">
      <c r="A42" s="465"/>
      <c r="B42" s="404">
        <v>150000000</v>
      </c>
      <c r="C42" s="1256"/>
      <c r="D42" s="402">
        <v>2768962</v>
      </c>
      <c r="E42" s="403">
        <v>2768962</v>
      </c>
      <c r="F42" s="1256"/>
      <c r="G42" s="402">
        <f t="shared" si="4"/>
        <v>2768962</v>
      </c>
      <c r="H42" s="403">
        <v>3911708</v>
      </c>
      <c r="I42" s="1256"/>
      <c r="J42" s="402">
        <f t="shared" si="1"/>
        <v>3911708</v>
      </c>
      <c r="K42" s="403">
        <v>4878647</v>
      </c>
      <c r="L42" s="1256"/>
      <c r="M42" s="402">
        <f t="shared" si="2"/>
        <v>4878647</v>
      </c>
      <c r="N42" s="403">
        <v>5713731</v>
      </c>
      <c r="O42" s="1256"/>
      <c r="P42" s="402">
        <f t="shared" si="3"/>
        <v>5713731</v>
      </c>
      <c r="Q42" s="403">
        <v>6021393</v>
      </c>
      <c r="S42" s="522"/>
    </row>
    <row r="43" spans="1:19" ht="14.55" x14ac:dyDescent="0.25">
      <c r="A43" s="465"/>
      <c r="B43" s="404">
        <v>175000000</v>
      </c>
      <c r="C43" s="1256"/>
      <c r="D43" s="402">
        <v>3124644</v>
      </c>
      <c r="E43" s="403">
        <v>3124644</v>
      </c>
      <c r="F43" s="1256"/>
      <c r="G43" s="402">
        <f t="shared" si="4"/>
        <v>3124644</v>
      </c>
      <c r="H43" s="403">
        <v>4414180</v>
      </c>
      <c r="I43" s="1256"/>
      <c r="J43" s="402">
        <f t="shared" si="1"/>
        <v>4414180</v>
      </c>
      <c r="K43" s="403">
        <v>5505326</v>
      </c>
      <c r="L43" s="1256"/>
      <c r="M43" s="402">
        <f t="shared" si="2"/>
        <v>5505326</v>
      </c>
      <c r="N43" s="403">
        <v>6447679</v>
      </c>
      <c r="O43" s="1256"/>
      <c r="P43" s="402">
        <f t="shared" si="3"/>
        <v>6447679</v>
      </c>
      <c r="Q43" s="403">
        <v>6794861</v>
      </c>
      <c r="S43" s="522"/>
    </row>
    <row r="44" spans="1:19" ht="14.55" x14ac:dyDescent="0.25">
      <c r="A44" s="465"/>
      <c r="B44" s="404">
        <v>200000000</v>
      </c>
      <c r="C44" s="1256"/>
      <c r="D44" s="402">
        <v>3469461</v>
      </c>
      <c r="E44" s="403">
        <v>3469461</v>
      </c>
      <c r="F44" s="1256"/>
      <c r="G44" s="402">
        <f t="shared" si="4"/>
        <v>3469461</v>
      </c>
      <c r="H44" s="403">
        <v>4901302</v>
      </c>
      <c r="I44" s="1256"/>
      <c r="J44" s="402">
        <f t="shared" si="1"/>
        <v>4901302</v>
      </c>
      <c r="K44" s="403">
        <v>6112860</v>
      </c>
      <c r="L44" s="1256"/>
      <c r="M44" s="402">
        <f t="shared" si="2"/>
        <v>6112860</v>
      </c>
      <c r="N44" s="403">
        <v>7159206</v>
      </c>
      <c r="O44" s="1256"/>
      <c r="P44" s="402">
        <f t="shared" si="3"/>
        <v>7159206</v>
      </c>
      <c r="Q44" s="403">
        <v>7544702</v>
      </c>
      <c r="S44" s="522"/>
    </row>
    <row r="45" spans="1:19" ht="14.55" x14ac:dyDescent="0.25">
      <c r="A45" s="465"/>
      <c r="B45" s="404">
        <v>225000000</v>
      </c>
      <c r="C45" s="1256"/>
      <c r="D45" s="402">
        <v>3805050</v>
      </c>
      <c r="E45" s="403">
        <v>3805050</v>
      </c>
      <c r="F45" s="1256"/>
      <c r="G45" s="402">
        <f t="shared" si="4"/>
        <v>3805050</v>
      </c>
      <c r="H45" s="403">
        <v>5375388</v>
      </c>
      <c r="I45" s="1256"/>
      <c r="J45" s="402">
        <f t="shared" si="1"/>
        <v>5375388</v>
      </c>
      <c r="K45" s="403">
        <v>6704136</v>
      </c>
      <c r="L45" s="1256"/>
      <c r="M45" s="402">
        <f t="shared" si="2"/>
        <v>6704136</v>
      </c>
      <c r="N45" s="403">
        <v>7851691</v>
      </c>
      <c r="O45" s="1256"/>
      <c r="P45" s="402">
        <f t="shared" si="3"/>
        <v>7851691</v>
      </c>
      <c r="Q45" s="403">
        <v>8274474</v>
      </c>
      <c r="S45" s="522"/>
    </row>
    <row r="46" spans="1:19" ht="15.2" thickBot="1" x14ac:dyDescent="0.3">
      <c r="A46" s="465"/>
      <c r="B46" s="408">
        <v>250000000</v>
      </c>
      <c r="C46" s="1257"/>
      <c r="D46" s="410">
        <v>4132647</v>
      </c>
      <c r="E46" s="411">
        <v>4132647</v>
      </c>
      <c r="F46" s="1257"/>
      <c r="G46" s="410">
        <f t="shared" si="4"/>
        <v>4132647</v>
      </c>
      <c r="H46" s="411">
        <v>5838184</v>
      </c>
      <c r="I46" s="1257"/>
      <c r="J46" s="410">
        <f t="shared" si="1"/>
        <v>5838184</v>
      </c>
      <c r="K46" s="411">
        <v>7281331</v>
      </c>
      <c r="L46" s="1257"/>
      <c r="M46" s="410">
        <f t="shared" si="2"/>
        <v>7281331</v>
      </c>
      <c r="N46" s="411">
        <v>8527685</v>
      </c>
      <c r="O46" s="1257"/>
      <c r="P46" s="410">
        <f t="shared" si="3"/>
        <v>8527685</v>
      </c>
      <c r="Q46" s="411">
        <v>8986868</v>
      </c>
      <c r="S46" s="522"/>
    </row>
    <row r="47" spans="1:19" ht="14.55" x14ac:dyDescent="0.25">
      <c r="A47" s="74"/>
      <c r="B47" s="74"/>
      <c r="C47" s="74"/>
      <c r="D47" s="74"/>
      <c r="E47" s="74"/>
      <c r="F47" s="74"/>
      <c r="G47" s="74"/>
      <c r="H47" s="74"/>
      <c r="I47" s="74"/>
      <c r="J47" s="74"/>
      <c r="K47" s="74"/>
      <c r="L47" s="74"/>
      <c r="M47" s="74"/>
      <c r="N47" s="74"/>
      <c r="O47" s="74"/>
      <c r="P47" s="74"/>
      <c r="Q47" s="74"/>
    </row>
    <row r="48" spans="1:19" ht="14.55" x14ac:dyDescent="0.25">
      <c r="A48" s="74"/>
      <c r="B48" s="449" t="s">
        <v>486</v>
      </c>
      <c r="C48" s="74"/>
      <c r="D48" s="74"/>
      <c r="E48" s="447"/>
      <c r="F48" s="74"/>
      <c r="G48" s="74"/>
      <c r="H48" s="447"/>
      <c r="I48" s="74"/>
      <c r="J48" s="74"/>
      <c r="K48" s="74"/>
      <c r="L48" s="74"/>
      <c r="M48" s="74"/>
      <c r="N48" s="74"/>
      <c r="O48" s="74"/>
      <c r="P48" s="74"/>
      <c r="Q48" s="74"/>
    </row>
    <row r="49" spans="1:17" ht="14.55" x14ac:dyDescent="0.25">
      <c r="A49" s="74"/>
      <c r="B49" s="74"/>
      <c r="C49" s="74"/>
      <c r="D49" s="74"/>
      <c r="E49" s="447"/>
      <c r="F49" s="74"/>
      <c r="G49" s="74"/>
      <c r="H49" s="447"/>
      <c r="I49" s="74"/>
      <c r="J49" s="74"/>
      <c r="K49" s="74"/>
      <c r="L49" s="74"/>
      <c r="M49" s="74"/>
      <c r="N49" s="74"/>
      <c r="O49" s="74"/>
      <c r="P49" s="74"/>
      <c r="Q49" s="74"/>
    </row>
    <row r="50" spans="1:17" ht="14.55" x14ac:dyDescent="0.25">
      <c r="A50" s="74"/>
      <c r="B50" s="74"/>
      <c r="C50" s="74"/>
      <c r="D50" s="1204"/>
      <c r="E50" s="1204"/>
      <c r="F50" s="1204"/>
      <c r="G50" s="1204"/>
      <c r="H50" s="1204"/>
      <c r="I50" s="523"/>
      <c r="J50" s="451"/>
      <c r="K50" s="451"/>
      <c r="L50" s="451"/>
      <c r="M50" s="451"/>
      <c r="N50" s="451"/>
      <c r="O50" s="74"/>
      <c r="P50" s="74"/>
      <c r="Q50" s="74"/>
    </row>
    <row r="51" spans="1:17" ht="14.55" x14ac:dyDescent="0.25">
      <c r="A51" s="74"/>
      <c r="B51" s="74"/>
      <c r="C51" s="74"/>
      <c r="D51" s="74"/>
      <c r="E51" s="447"/>
      <c r="F51" s="74"/>
      <c r="G51" s="74"/>
      <c r="H51" s="447"/>
      <c r="I51" s="74"/>
      <c r="J51" s="74"/>
      <c r="K51" s="74"/>
      <c r="L51" s="74"/>
      <c r="M51" s="74"/>
      <c r="N51" s="74"/>
      <c r="O51" s="74"/>
      <c r="P51" s="74"/>
      <c r="Q51" s="74"/>
    </row>
    <row r="52" spans="1:17" ht="14.55" x14ac:dyDescent="0.25">
      <c r="A52" s="74"/>
      <c r="B52" s="74"/>
      <c r="C52" s="391"/>
      <c r="D52" s="1188" t="s">
        <v>337</v>
      </c>
      <c r="E52" s="387">
        <v>1</v>
      </c>
      <c r="F52" s="391"/>
      <c r="G52" s="1188" t="s">
        <v>338</v>
      </c>
      <c r="H52" s="387" t="s">
        <v>148</v>
      </c>
      <c r="I52" s="391"/>
      <c r="J52" s="74"/>
      <c r="K52" s="397"/>
      <c r="L52" s="391"/>
      <c r="M52" s="74"/>
      <c r="N52" s="397"/>
      <c r="O52" s="412"/>
      <c r="P52" s="465"/>
      <c r="Q52" s="465"/>
    </row>
    <row r="53" spans="1:17" ht="14.55" x14ac:dyDescent="0.25">
      <c r="A53" s="74"/>
      <c r="B53" s="74"/>
      <c r="C53" s="391"/>
      <c r="D53" s="1188"/>
      <c r="E53" s="387">
        <v>2</v>
      </c>
      <c r="F53" s="391"/>
      <c r="G53" s="1188"/>
      <c r="H53" s="387" t="s">
        <v>339</v>
      </c>
      <c r="I53" s="391"/>
      <c r="J53" s="74"/>
      <c r="K53" s="397"/>
      <c r="L53" s="391"/>
      <c r="M53" s="74"/>
      <c r="N53" s="397"/>
      <c r="O53" s="412"/>
      <c r="P53" s="465"/>
      <c r="Q53" s="465"/>
    </row>
    <row r="54" spans="1:17" ht="14.55" x14ac:dyDescent="0.25">
      <c r="A54" s="74"/>
      <c r="B54" s="74"/>
      <c r="C54" s="74"/>
      <c r="D54" s="1188"/>
      <c r="E54" s="387">
        <v>3</v>
      </c>
      <c r="F54" s="74"/>
      <c r="G54" s="1188"/>
      <c r="H54" s="387" t="s">
        <v>340</v>
      </c>
      <c r="I54" s="74"/>
      <c r="J54" s="74"/>
      <c r="K54" s="397"/>
      <c r="L54" s="74"/>
      <c r="M54" s="74"/>
      <c r="N54" s="397"/>
      <c r="O54" s="74"/>
      <c r="P54" s="74"/>
      <c r="Q54" s="74"/>
    </row>
    <row r="55" spans="1:17" ht="14.55" x14ac:dyDescent="0.25">
      <c r="A55" s="74"/>
      <c r="B55" s="74"/>
      <c r="C55" s="74"/>
      <c r="D55" s="1188"/>
      <c r="E55" s="387">
        <v>4</v>
      </c>
      <c r="F55" s="74"/>
      <c r="G55" s="1188"/>
      <c r="H55" s="387" t="s">
        <v>341</v>
      </c>
      <c r="I55" s="74"/>
      <c r="J55" s="74"/>
      <c r="K55" s="397"/>
      <c r="L55" s="74"/>
      <c r="M55" s="74"/>
      <c r="N55" s="397"/>
      <c r="O55" s="74"/>
      <c r="P55" s="74"/>
      <c r="Q55" s="74"/>
    </row>
    <row r="56" spans="1:17" ht="14.55" x14ac:dyDescent="0.25">
      <c r="A56" s="74"/>
      <c r="B56" s="74"/>
      <c r="C56" s="74"/>
      <c r="D56" s="1188"/>
      <c r="E56" s="387">
        <v>5</v>
      </c>
      <c r="F56" s="74"/>
      <c r="G56" s="1188"/>
      <c r="H56" s="387" t="s">
        <v>342</v>
      </c>
      <c r="I56" s="74"/>
      <c r="J56" s="74"/>
      <c r="K56" s="397"/>
      <c r="L56" s="74"/>
      <c r="M56" s="74"/>
      <c r="N56" s="397"/>
      <c r="O56" s="74"/>
      <c r="P56" s="74"/>
      <c r="Q56" s="74"/>
    </row>
    <row r="57" spans="1:17" ht="15.2" thickBot="1" x14ac:dyDescent="0.35">
      <c r="B57" s="384"/>
      <c r="C57" s="384"/>
      <c r="D57" s="384"/>
      <c r="E57" s="384"/>
      <c r="F57" s="384"/>
      <c r="G57" s="1179" t="s">
        <v>343</v>
      </c>
      <c r="H57" s="1179"/>
      <c r="I57" s="1180" t="s">
        <v>344</v>
      </c>
      <c r="J57" s="1180"/>
      <c r="K57" s="1180" t="s">
        <v>345</v>
      </c>
      <c r="L57" s="1180"/>
      <c r="M57" s="384"/>
    </row>
    <row r="58" spans="1:17" ht="15.2" thickBot="1" x14ac:dyDescent="0.3">
      <c r="B58" s="1230" t="s">
        <v>346</v>
      </c>
      <c r="C58" s="1231"/>
      <c r="D58" s="1231"/>
      <c r="E58" s="1232"/>
      <c r="F58" s="74"/>
      <c r="G58" s="1225" t="e">
        <f>#REF!</f>
        <v>#REF!</v>
      </c>
      <c r="H58" s="1226"/>
      <c r="I58" s="1225" t="e">
        <f>#REF!</f>
        <v>#REF!</v>
      </c>
      <c r="J58" s="1226"/>
      <c r="K58" s="1225" t="e">
        <f>#REF!</f>
        <v>#REF!</v>
      </c>
      <c r="L58" s="1226"/>
      <c r="M58" s="524"/>
      <c r="N58" s="524"/>
    </row>
    <row r="59" spans="1:17" ht="14.55" x14ac:dyDescent="0.3">
      <c r="B59" s="74"/>
      <c r="C59" s="74"/>
      <c r="D59" s="74"/>
      <c r="E59" s="74"/>
      <c r="F59" s="74"/>
      <c r="G59" s="74"/>
      <c r="H59" s="74"/>
      <c r="I59" s="384"/>
      <c r="J59" s="384"/>
      <c r="K59" s="384"/>
      <c r="L59" s="384"/>
      <c r="M59" s="74"/>
      <c r="N59" s="74"/>
    </row>
    <row r="60" spans="1:17" ht="14.55" x14ac:dyDescent="0.3">
      <c r="B60" s="449"/>
      <c r="C60" s="74"/>
      <c r="D60" s="74"/>
      <c r="E60" s="74"/>
      <c r="F60" s="74"/>
      <c r="G60" s="74"/>
      <c r="H60" s="74"/>
      <c r="I60" s="384"/>
      <c r="J60" s="384"/>
      <c r="K60" s="384"/>
      <c r="L60" s="384"/>
      <c r="M60" s="74"/>
      <c r="N60" s="74"/>
    </row>
    <row r="61" spans="1:17" ht="14.55" x14ac:dyDescent="0.3">
      <c r="B61" s="74"/>
      <c r="C61" s="74"/>
      <c r="D61" s="74"/>
      <c r="E61" s="74"/>
      <c r="F61" s="74"/>
      <c r="G61" s="74"/>
      <c r="H61" s="74"/>
      <c r="I61" s="384"/>
      <c r="J61" s="384"/>
      <c r="K61" s="384"/>
      <c r="L61" s="384"/>
      <c r="M61" s="74"/>
      <c r="N61" s="74"/>
    </row>
    <row r="62" spans="1:17" ht="14.55" x14ac:dyDescent="0.3">
      <c r="B62" s="1242" t="s">
        <v>337</v>
      </c>
      <c r="C62" s="1243"/>
      <c r="D62" s="1243"/>
      <c r="E62" s="1244"/>
      <c r="F62" s="458"/>
      <c r="G62" s="1181" t="e">
        <f>#REF!</f>
        <v>#REF!</v>
      </c>
      <c r="H62" s="1182"/>
      <c r="I62" s="384"/>
      <c r="J62" s="384"/>
      <c r="K62" s="525"/>
      <c r="L62" s="384"/>
      <c r="M62" s="459"/>
      <c r="N62" s="459"/>
    </row>
    <row r="63" spans="1:17" ht="14.55" x14ac:dyDescent="0.3">
      <c r="B63" s="1242" t="s">
        <v>338</v>
      </c>
      <c r="C63" s="1243"/>
      <c r="D63" s="1243"/>
      <c r="E63" s="1244"/>
      <c r="F63" s="458"/>
      <c r="G63" s="1181" t="e">
        <f>#REF!</f>
        <v>#REF!</v>
      </c>
      <c r="H63" s="1182"/>
      <c r="I63" s="384"/>
      <c r="J63" s="384"/>
      <c r="K63" s="384"/>
      <c r="L63" s="384"/>
      <c r="M63" s="459"/>
      <c r="N63" s="459"/>
    </row>
    <row r="64" spans="1:17" ht="14.55" x14ac:dyDescent="0.3">
      <c r="B64" s="74"/>
      <c r="C64" s="74"/>
      <c r="D64" s="74"/>
      <c r="E64" s="74"/>
      <c r="F64" s="74"/>
      <c r="G64" s="74"/>
      <c r="H64" s="74"/>
      <c r="I64" s="384"/>
      <c r="J64" s="384"/>
      <c r="K64" s="384"/>
      <c r="L64" s="384"/>
      <c r="M64" s="384"/>
    </row>
    <row r="65" spans="2:14" ht="14.55" x14ac:dyDescent="0.3">
      <c r="B65" s="74"/>
      <c r="C65" s="74"/>
      <c r="D65" s="74"/>
      <c r="E65" s="74"/>
      <c r="F65" s="74"/>
      <c r="G65" s="74"/>
      <c r="H65" s="74"/>
      <c r="I65" s="384"/>
      <c r="J65" s="384"/>
      <c r="K65" s="384"/>
      <c r="L65" s="384"/>
      <c r="M65" s="384"/>
    </row>
    <row r="66" spans="2:14" ht="14.55" x14ac:dyDescent="0.3">
      <c r="B66" s="449" t="s">
        <v>347</v>
      </c>
      <c r="C66" s="74"/>
      <c r="D66" s="74"/>
      <c r="E66" s="74"/>
      <c r="F66" s="74"/>
      <c r="G66" s="74"/>
      <c r="H66" s="74"/>
      <c r="I66" s="384"/>
      <c r="J66" s="384"/>
      <c r="K66" s="384"/>
      <c r="L66" s="384"/>
      <c r="M66" s="384"/>
    </row>
    <row r="67" spans="2:14" ht="14.55" x14ac:dyDescent="0.3">
      <c r="B67" s="74"/>
      <c r="C67" s="74"/>
      <c r="D67" s="74"/>
      <c r="E67" s="74"/>
      <c r="F67" s="74"/>
      <c r="G67" s="1179" t="s">
        <v>343</v>
      </c>
      <c r="H67" s="1179"/>
      <c r="I67" s="1180" t="s">
        <v>344</v>
      </c>
      <c r="J67" s="1180"/>
      <c r="K67" s="1185" t="s">
        <v>345</v>
      </c>
      <c r="L67" s="1185"/>
      <c r="M67" s="1185"/>
    </row>
    <row r="68" spans="2:14" ht="14.55" x14ac:dyDescent="0.25">
      <c r="C68" s="449"/>
      <c r="D68" s="1222" t="s">
        <v>348</v>
      </c>
      <c r="E68" s="1171" t="s">
        <v>337</v>
      </c>
      <c r="F68" s="460"/>
      <c r="G68" s="526" t="s">
        <v>349</v>
      </c>
      <c r="H68" s="527" t="e">
        <f>IF($G$58&lt;$B$8,0,IF($G$58&gt;$B$46,0,VLOOKUP($G$58,$B$8:$B$46,1)))</f>
        <v>#REF!</v>
      </c>
      <c r="I68" s="526" t="s">
        <v>349</v>
      </c>
      <c r="J68" s="527" t="e">
        <f>IF($I$58&lt;$B$8,0,IF($I$58&gt;$B$46,0,VLOOKUP($I$58,$B$8:$B$46,1)))</f>
        <v>#REF!</v>
      </c>
      <c r="K68" s="526" t="s">
        <v>349</v>
      </c>
      <c r="L68" s="1175" t="e">
        <f>IF($K$58&lt;$B$8,0,IF($K$58&gt;$B$46,0,VLOOKUP(K58,B8:B46,1)))</f>
        <v>#REF!</v>
      </c>
      <c r="M68" s="1176"/>
      <c r="N68" s="460"/>
    </row>
    <row r="69" spans="2:14" ht="14.55" x14ac:dyDescent="0.25">
      <c r="B69" s="449"/>
      <c r="C69" s="449"/>
      <c r="D69" s="1223"/>
      <c r="E69" s="1172"/>
      <c r="F69" s="74"/>
      <c r="G69" s="463" t="s">
        <v>148</v>
      </c>
      <c r="H69" s="464" t="s">
        <v>342</v>
      </c>
      <c r="I69" s="463" t="s">
        <v>148</v>
      </c>
      <c r="J69" s="464" t="s">
        <v>342</v>
      </c>
      <c r="K69" s="463" t="s">
        <v>148</v>
      </c>
      <c r="L69" s="1177" t="s">
        <v>342</v>
      </c>
      <c r="M69" s="1178"/>
      <c r="N69" s="465"/>
    </row>
    <row r="70" spans="2:14" ht="14.55" x14ac:dyDescent="0.25">
      <c r="B70" s="449"/>
      <c r="C70" s="449"/>
      <c r="D70" s="1223"/>
      <c r="E70" s="561">
        <v>1</v>
      </c>
      <c r="F70" s="74"/>
      <c r="G70" s="462" t="e">
        <f>IF($G$58&lt;$B$8,0,IF($G$58&gt;$B$46,0,VLOOKUP($H$68,$B$8:$Q$46,3)))</f>
        <v>#REF!</v>
      </c>
      <c r="H70" s="462" t="e">
        <f>IF($G$58&lt;$B$8,0,IF($G$58&gt;$B$46,0,VLOOKUP(G70,$D$8:$E$46,2)))</f>
        <v>#REF!</v>
      </c>
      <c r="I70" s="462" t="e">
        <f>IF($I$58&lt;$B$8,0,IF($I$58&gt;$B$46,0,VLOOKUP($J$68,$B$8:$Q$46,6)))</f>
        <v>#REF!</v>
      </c>
      <c r="J70" s="462" t="e">
        <f>IF($I$58&lt;$B$8,0,IF($I$58&gt;$B$46,0,VLOOKUP(I70,$D$8:$E$46,2)))</f>
        <v>#REF!</v>
      </c>
      <c r="K70" s="462" t="e">
        <f>IF($K$58&lt;$B$8,0,IF($K$58&gt;$B$46,0,VLOOKUP($L$68,$B$8:$Q$46,3)))</f>
        <v>#REF!</v>
      </c>
      <c r="L70" s="1173" t="e">
        <f>IF($K$58&lt;$B$8,0,IF($K$58&gt;$B$46,0,VLOOKUP(K70,$D$8:$E$46,2)))</f>
        <v>#REF!</v>
      </c>
      <c r="M70" s="1174"/>
      <c r="N70" s="460"/>
    </row>
    <row r="71" spans="2:14" ht="14.55" x14ac:dyDescent="0.25">
      <c r="B71" s="449"/>
      <c r="C71" s="449"/>
      <c r="D71" s="1223"/>
      <c r="E71" s="561">
        <v>2</v>
      </c>
      <c r="F71" s="74"/>
      <c r="G71" s="462" t="e">
        <f>IF($G$58&lt;$B$8,0,IF($G$58&gt;$B$46,0,VLOOKUP($H$68,$B$8:$Q$46,6)))</f>
        <v>#REF!</v>
      </c>
      <c r="H71" s="462" t="e">
        <f>IF($G$58&lt;$B$8,0,IF($G$58&gt;$B$46,0,VLOOKUP(G71,$G$8:$H$46,2)))</f>
        <v>#REF!</v>
      </c>
      <c r="I71" s="462" t="e">
        <f>IF($I$58&lt;$B$8,0,IF($I$58&gt;$B$46,0,VLOOKUP($J$68,$B$8:$Q$46,6)))</f>
        <v>#REF!</v>
      </c>
      <c r="J71" s="462" t="e">
        <f>IF($I$58&lt;$B$8,0,IF($I$58&gt;$B$46,0,VLOOKUP(I71,$G$8:$H$46,2)))</f>
        <v>#REF!</v>
      </c>
      <c r="K71" s="462" t="e">
        <f>IF($K$58&lt;$B$8,0,IF($K$58&gt;$B$46,0,VLOOKUP($L$68,$B$8:$Q$46,6)))</f>
        <v>#REF!</v>
      </c>
      <c r="L71" s="1173" t="e">
        <f>IF($K$58&lt;$B$8,0,IF($K$58&gt;$B$46,0,VLOOKUP(K71,$G$8:$H$46,2)))</f>
        <v>#REF!</v>
      </c>
      <c r="M71" s="1174"/>
      <c r="N71" s="460"/>
    </row>
    <row r="72" spans="2:14" ht="14.55" x14ac:dyDescent="0.25">
      <c r="B72" s="449"/>
      <c r="C72" s="449"/>
      <c r="D72" s="1223"/>
      <c r="E72" s="561">
        <v>3</v>
      </c>
      <c r="F72" s="74"/>
      <c r="G72" s="462" t="e">
        <f>IF($G$58&lt;$B$8,0,IF($G$58&gt;$B$46,0,VLOOKUP($H$68,$B$8:$Q$46,9)))</f>
        <v>#REF!</v>
      </c>
      <c r="H72" s="462" t="e">
        <f>IF($G$58&lt;$B$8,0,IF($G$58&gt;$B$46,0,VLOOKUP(G72,$J$8:$K$45,2)))</f>
        <v>#REF!</v>
      </c>
      <c r="I72" s="462" t="e">
        <f>IF($I$58&lt;$B$8,0,IF($I$58&gt;$B$46,0,VLOOKUP($J$68,$B$8:$Q$46,9)))</f>
        <v>#REF!</v>
      </c>
      <c r="J72" s="462" t="e">
        <f>IF($I$58&lt;$B$8,0,IF($I$58&gt;$B$46,0,VLOOKUP(I72,$J$8:$K$46,2)))</f>
        <v>#REF!</v>
      </c>
      <c r="K72" s="462" t="e">
        <f>IF($K$58&lt;$B$8,0,IF($K$58&gt;$B$46,0,VLOOKUP($L$68,$B$8:$Q$46,9)))</f>
        <v>#REF!</v>
      </c>
      <c r="L72" s="1173" t="e">
        <f>IF($K$58&lt;$B$8,0,IF($K$58&gt;$B$46,0,VLOOKUP(K72,$J$8:$K$46,2)))</f>
        <v>#REF!</v>
      </c>
      <c r="M72" s="1174"/>
      <c r="N72" s="460"/>
    </row>
    <row r="73" spans="2:14" ht="14.55" x14ac:dyDescent="0.25">
      <c r="B73" s="449"/>
      <c r="C73" s="449"/>
      <c r="D73" s="1223"/>
      <c r="E73" s="561">
        <v>4</v>
      </c>
      <c r="F73" s="74"/>
      <c r="G73" s="462" t="e">
        <f>IF($G$58&lt;$B$8,0,IF($G$58&gt;$B$46,0,VLOOKUP($H$68,$B$8:$Q$46,12)))</f>
        <v>#REF!</v>
      </c>
      <c r="H73" s="462" t="e">
        <f>IF($G$58&lt;$B$8,0,IF($G$58&gt;$B$46,0,VLOOKUP(G73,$M$8:$N$46,2)))</f>
        <v>#REF!</v>
      </c>
      <c r="I73" s="462" t="e">
        <f>IF($I$58&lt;$B$8,0,IF($I$58&gt;$B$46,0,VLOOKUP($J$68,$B$8:$Q$46,12)))</f>
        <v>#REF!</v>
      </c>
      <c r="J73" s="462" t="e">
        <f>IF($I$58&lt;$B$8,0,IF($I$58&gt;$B$46,0,VLOOKUP(I73,$M$8:$N$46,2)))</f>
        <v>#REF!</v>
      </c>
      <c r="K73" s="462" t="e">
        <f>IF($K$58&lt;$B$8,0,IF($K$58&gt;$B$46,0,VLOOKUP($L$68,$B$8:$Q$46,12)))</f>
        <v>#REF!</v>
      </c>
      <c r="L73" s="1173" t="e">
        <f>IF($K$58&lt;$B$8,0,IF($K$58&gt;$B$46,0,VLOOKUP(K73,$M$8:$N$46,2)))</f>
        <v>#REF!</v>
      </c>
      <c r="M73" s="1174"/>
      <c r="N73" s="460"/>
    </row>
    <row r="74" spans="2:14" ht="14.55" x14ac:dyDescent="0.25">
      <c r="B74" s="449"/>
      <c r="C74" s="449"/>
      <c r="D74" s="1224"/>
      <c r="E74" s="561">
        <v>5</v>
      </c>
      <c r="F74" s="74"/>
      <c r="G74" s="462" t="e">
        <f>IF($G$58&lt;$B$8,0,IF($G$58&gt;$B$46,0,VLOOKUP($H$68,$B$8:$Q$46,15)))</f>
        <v>#REF!</v>
      </c>
      <c r="H74" s="462" t="e">
        <f>IF($G$58&lt;$B$8,0,IF($G$58&gt;$B$46,0,VLOOKUP(G74,$P$8:$Q$46,2)))</f>
        <v>#REF!</v>
      </c>
      <c r="I74" s="462" t="e">
        <f>IF($I$58&lt;$B$8,0,IF($I$58&gt;$B$46,0,VLOOKUP($J$68,$B$8:$Q$46,15)))</f>
        <v>#REF!</v>
      </c>
      <c r="J74" s="462" t="e">
        <f>IF($I$58&lt;$B$8,0,IF($I$58&gt;$B$46,0,VLOOKUP(I74,$P$8:$Q$46,2)))</f>
        <v>#REF!</v>
      </c>
      <c r="K74" s="462" t="e">
        <f>IF($K$58&lt;$B$8,0,IF($K$58&gt;$B$46,0,VLOOKUP($L$68,$B$8:$Q$46,15)))</f>
        <v>#REF!</v>
      </c>
      <c r="L74" s="1173" t="e">
        <f>IF($K$58&lt;$B$8,0,IF($K$58&gt;$B$46,0,VLOOKUP(K74,$P$8:$Q$46,2)))</f>
        <v>#REF!</v>
      </c>
      <c r="M74" s="1174"/>
      <c r="N74" s="460"/>
    </row>
    <row r="75" spans="2:14" ht="14.55" x14ac:dyDescent="0.25">
      <c r="B75" s="396"/>
      <c r="C75" s="396"/>
      <c r="D75" s="396"/>
      <c r="E75" s="74"/>
      <c r="F75" s="74"/>
      <c r="G75" s="528"/>
      <c r="H75" s="465"/>
    </row>
    <row r="76" spans="2:14" ht="14.55" x14ac:dyDescent="0.25">
      <c r="C76" s="449"/>
      <c r="D76" s="1222" t="s">
        <v>350</v>
      </c>
      <c r="E76" s="1171" t="s">
        <v>337</v>
      </c>
      <c r="F76" s="74"/>
      <c r="G76" s="461" t="s">
        <v>349</v>
      </c>
      <c r="H76" s="462" t="e" cm="1">
        <f t="array" ref="H76">IF($G$58&lt;$B$8,0,IF(G58&gt;$B$46,0,INDEX(B8:B46,MATCH(G58,B8:B46,1)+1,1)))</f>
        <v>#REF!</v>
      </c>
      <c r="I76" s="461" t="s">
        <v>349</v>
      </c>
      <c r="J76" s="462" t="e">
        <f>IF(I58&lt;$B$8,0,IF(I58&gt;$B$46,0,INDEX(B8:B46,MATCH(I58,B8:B46,1)+1,1)))</f>
        <v>#REF!</v>
      </c>
      <c r="K76" s="461" t="s">
        <v>349</v>
      </c>
      <c r="L76" s="1175" t="e" cm="1">
        <f t="array" ref="L76">IF($K$58&lt;$B$8,0,IF($K$58&gt;$B$46,0,INDEX(B8:B46,MATCH(K58,B8:B46,1)+1,1)))</f>
        <v>#REF!</v>
      </c>
      <c r="M76" s="1176"/>
      <c r="N76" s="460"/>
    </row>
    <row r="77" spans="2:14" ht="14.55" x14ac:dyDescent="0.25">
      <c r="B77" s="449"/>
      <c r="C77" s="449"/>
      <c r="D77" s="1223"/>
      <c r="E77" s="1172"/>
      <c r="F77" s="74"/>
      <c r="G77" s="463" t="s">
        <v>148</v>
      </c>
      <c r="H77" s="464" t="s">
        <v>342</v>
      </c>
      <c r="I77" s="463" t="s">
        <v>148</v>
      </c>
      <c r="J77" s="464" t="s">
        <v>342</v>
      </c>
      <c r="K77" s="463" t="s">
        <v>148</v>
      </c>
      <c r="L77" s="1177" t="s">
        <v>342</v>
      </c>
      <c r="M77" s="1178"/>
      <c r="N77" s="465"/>
    </row>
    <row r="78" spans="2:14" ht="14.55" x14ac:dyDescent="0.25">
      <c r="B78" s="449"/>
      <c r="C78" s="449"/>
      <c r="D78" s="1223"/>
      <c r="E78" s="561">
        <v>1</v>
      </c>
      <c r="F78" s="74"/>
      <c r="G78" s="462" t="e">
        <f>IF($G$58&lt;$B$8,0,IF($G$58&gt;$B$46,0,VLOOKUP($H$76,$B$8:$Q$46,3)))</f>
        <v>#REF!</v>
      </c>
      <c r="H78" s="462" t="e">
        <f>IF($G$58&lt;$B$8,0,IF($G$58&gt;$B$46,0,VLOOKUP(G78,$D$8:$E$46,2)))</f>
        <v>#REF!</v>
      </c>
      <c r="I78" s="462" t="e">
        <f>IF($I$58&lt;$B$8,0,IF($I$58&gt;$B$46,0,VLOOKUP($J$76,$B$8:$Q$46,3)))</f>
        <v>#REF!</v>
      </c>
      <c r="J78" s="462" t="e">
        <f>IF($I$58&lt;$B$8,0,IF($I$58&gt;$B$46,0,VLOOKUP(I78,$D$8:$E$46,2)))</f>
        <v>#REF!</v>
      </c>
      <c r="K78" s="462" t="e">
        <f>IF($K$58&lt;$B$8,0,IF($K$58&gt;$B$46,0,VLOOKUP($L$76,$B$8:$Q$46,3)))</f>
        <v>#REF!</v>
      </c>
      <c r="L78" s="1173" t="e">
        <f>IF($K$58&lt;$B$8,0,IF($K$58&gt;$B$46,0,VLOOKUP(K78,$D$8:$E$46,2)))</f>
        <v>#REF!</v>
      </c>
      <c r="M78" s="1174"/>
      <c r="N78" s="460"/>
    </row>
    <row r="79" spans="2:14" ht="14.55" x14ac:dyDescent="0.25">
      <c r="B79" s="449"/>
      <c r="C79" s="449"/>
      <c r="D79" s="1223"/>
      <c r="E79" s="561">
        <v>2</v>
      </c>
      <c r="F79" s="74"/>
      <c r="G79" s="462" t="e">
        <f>IF($G$58&lt;$B$8,0,IF($G$58&gt;$B$46,0,VLOOKUP($H$76,$B$8:$Q$46,6)))</f>
        <v>#REF!</v>
      </c>
      <c r="H79" s="462" t="e">
        <f>IF($G$58&lt;$B$8,0,IF($G$58&gt;$B$46,0,VLOOKUP(G79,$G$8:$H$46,2)))</f>
        <v>#REF!</v>
      </c>
      <c r="I79" s="462" t="e">
        <f>IF($I$58&lt;$B$8,0,IF($I$58&gt;$B$46,0,VLOOKUP($J$76,$B$8:$Q$46,6)))</f>
        <v>#REF!</v>
      </c>
      <c r="J79" s="462" t="e">
        <f>IF($I$58&lt;$B$8,0,IF($I$58&gt;$B$46,0,VLOOKUP(I79,$G$8:$H$46,2)))</f>
        <v>#REF!</v>
      </c>
      <c r="K79" s="462" t="e">
        <f>IF($K$58&lt;$B$8,0,IF($K$58&gt;$B$46,0,VLOOKUP($L$76,$B$8:$Q$46,6)))</f>
        <v>#REF!</v>
      </c>
      <c r="L79" s="1173" t="e">
        <f>IF($K$58&lt;$B$8,0,IF($K$58&gt;$B$46,0,VLOOKUP(K79,$G$8:$H$46,2)))</f>
        <v>#REF!</v>
      </c>
      <c r="M79" s="1174"/>
      <c r="N79" s="460"/>
    </row>
    <row r="80" spans="2:14" ht="14.55" x14ac:dyDescent="0.25">
      <c r="B80" s="449"/>
      <c r="C80" s="449"/>
      <c r="D80" s="1223"/>
      <c r="E80" s="561">
        <v>3</v>
      </c>
      <c r="F80" s="74"/>
      <c r="G80" s="462" t="e">
        <f>IF($G$58&lt;$B$8,0,IF($G$58&gt;$B$46,0,VLOOKUP($H$76,$B$8:$Q$46,9)))</f>
        <v>#REF!</v>
      </c>
      <c r="H80" s="462" t="e">
        <f>IF($G$58&lt;$B$8,0,IF($G$58&gt;$B$46,0,VLOOKUP(G80,$J$8:$K$46,2)))</f>
        <v>#REF!</v>
      </c>
      <c r="I80" s="462" t="e">
        <f>IF($I$58&lt;$B$8,0,IF($I$58&gt;$B$46,0,VLOOKUP($J$76,$B$8:$Q$46,9)))</f>
        <v>#REF!</v>
      </c>
      <c r="J80" s="462" t="e">
        <f>IF($I$58&lt;$B$8,0,IF($I$58&gt;$B$46,0,VLOOKUP(I80,$J$8:$K$46,2)))</f>
        <v>#REF!</v>
      </c>
      <c r="K80" s="462" t="e">
        <f>IF($K$58&lt;$B$8,0,IF($K$58&gt;$B$46,0,VLOOKUP($L$76,$B$8:$Q$46,9)))</f>
        <v>#REF!</v>
      </c>
      <c r="L80" s="1173" t="e">
        <f>IF($K$58&lt;$B$8,0,IF($K$58&gt;$B$46,0,VLOOKUP(K80,$J$8:$K$46,2)))</f>
        <v>#REF!</v>
      </c>
      <c r="M80" s="1174"/>
      <c r="N80" s="460"/>
    </row>
    <row r="81" spans="2:14" ht="14.55" x14ac:dyDescent="0.25">
      <c r="B81" s="449"/>
      <c r="C81" s="449"/>
      <c r="D81" s="1223"/>
      <c r="E81" s="561">
        <v>4</v>
      </c>
      <c r="F81" s="74"/>
      <c r="G81" s="462" t="e">
        <f>IF($G$58&lt;$B$8,0,IF($G$58&gt;$B$46,0,VLOOKUP($H$76,$B$8:$Q$46,12)))</f>
        <v>#REF!</v>
      </c>
      <c r="H81" s="462" t="e">
        <f>IF($G$58&lt;$B$8,0,IF($G$58&gt;$B$46,0,VLOOKUP(G81,$M$8:$N$46,2)))</f>
        <v>#REF!</v>
      </c>
      <c r="I81" s="462" t="e">
        <f>IF($I$58&lt;$B$8,0,IF($I$58&gt;$B$46,0,VLOOKUP($J$76,$B$8:$Q$46,12)))</f>
        <v>#REF!</v>
      </c>
      <c r="J81" s="462" t="e">
        <f>IF($I$58&lt;$B$8,0,IF($I$58&gt;$B$46,0,VLOOKUP(I81,$M$8:$N$46,2)))</f>
        <v>#REF!</v>
      </c>
      <c r="K81" s="462" t="e">
        <f>IF($K$58&lt;$B$8,0,IF($K$58&gt;$B$46,0,VLOOKUP($L$76,$B$8:$Q$46,12)))</f>
        <v>#REF!</v>
      </c>
      <c r="L81" s="1173" t="e">
        <f>IF($K$58&lt;$B$8,0,IF($K$58&gt;$B$46,0,VLOOKUP(K81,$M$8:$N$46,2)))</f>
        <v>#REF!</v>
      </c>
      <c r="M81" s="1174"/>
      <c r="N81" s="460"/>
    </row>
    <row r="82" spans="2:14" ht="14.55" x14ac:dyDescent="0.25">
      <c r="B82" s="449"/>
      <c r="C82" s="449"/>
      <c r="D82" s="1224"/>
      <c r="E82" s="561">
        <v>5</v>
      </c>
      <c r="F82" s="74"/>
      <c r="G82" s="462" t="e">
        <f>IF($G$58&lt;$B$8,0,IF($G$58&gt;$B$46,0,VLOOKUP($H$76,$B$8:$Q$46,15)))</f>
        <v>#REF!</v>
      </c>
      <c r="H82" s="462" t="e">
        <f>IF($G$58&lt;$B$8,0,IF($G$58&gt;$B$46,0,VLOOKUP(G82,$P$8:$Q$46,2)))</f>
        <v>#REF!</v>
      </c>
      <c r="I82" s="462" t="e">
        <f>IF($I$58&lt;$B$8,0,IF($I$58&gt;$B$46,0,VLOOKUP($J$76,$B$8:$Q$46,15)))</f>
        <v>#REF!</v>
      </c>
      <c r="J82" s="462" t="e">
        <f>IF($I$58&lt;$B$8,0,IF($I$58&gt;$B$46,0,VLOOKUP(I82,$P$8:$Q$46,2)))</f>
        <v>#REF!</v>
      </c>
      <c r="K82" s="462" t="e">
        <f>IF($K$58&lt;$B$8,0,IF($K$58&gt;$B$46,0,VLOOKUP($L$76,$B$8:$Q$46,15)))</f>
        <v>#REF!</v>
      </c>
      <c r="L82" s="1173" t="e">
        <f>IF($K$58&lt;$B$8,0,IF($K$58&gt;$B$46,0,VLOOKUP(K82,$P$8:$Q$46,2)))</f>
        <v>#REF!</v>
      </c>
      <c r="M82" s="1174"/>
      <c r="N82" s="460"/>
    </row>
    <row r="84" spans="2:14" x14ac:dyDescent="0.25">
      <c r="B84" s="383" t="s">
        <v>351</v>
      </c>
    </row>
    <row r="86" spans="2:14" ht="14.55" x14ac:dyDescent="0.25">
      <c r="B86" s="396"/>
      <c r="C86" s="396"/>
      <c r="D86" s="396"/>
      <c r="E86" s="74"/>
      <c r="F86" s="74"/>
      <c r="G86" s="463" t="s">
        <v>148</v>
      </c>
      <c r="H86" s="464" t="s">
        <v>342</v>
      </c>
      <c r="I86" s="463" t="s">
        <v>148</v>
      </c>
      <c r="J86" s="464" t="s">
        <v>342</v>
      </c>
      <c r="K86" s="463" t="s">
        <v>148</v>
      </c>
      <c r="L86" s="1188" t="s">
        <v>342</v>
      </c>
      <c r="M86" s="1188"/>
      <c r="N86" s="465"/>
    </row>
    <row r="87" spans="2:14" ht="14.55" x14ac:dyDescent="0.25">
      <c r="B87" s="1238" t="s">
        <v>348</v>
      </c>
      <c r="C87" s="1238"/>
      <c r="D87" s="1238"/>
      <c r="E87" s="1238"/>
      <c r="F87" s="74"/>
      <c r="G87" s="468" t="e">
        <f>VLOOKUP($G$62,$E$70:$H$74,3)</f>
        <v>#REF!</v>
      </c>
      <c r="H87" s="468" t="e">
        <f>VLOOKUP(G62,$E$70:$H$74,4)</f>
        <v>#REF!</v>
      </c>
      <c r="I87" s="468" t="e">
        <f>VLOOKUP($G$62,$E$70:$J$74,5)</f>
        <v>#REF!</v>
      </c>
      <c r="J87" s="468" t="e">
        <f>VLOOKUP(G62,$E$70:$J$74,6)</f>
        <v>#REF!</v>
      </c>
      <c r="K87" s="468" t="e">
        <f>VLOOKUP($G$62,$E$70:$K$74,7)</f>
        <v>#REF!</v>
      </c>
      <c r="L87" s="1164" t="e">
        <f>VLOOKUP(G62,$E$70:$M$74,8)</f>
        <v>#REF!</v>
      </c>
      <c r="M87" s="1164"/>
      <c r="N87" s="469"/>
    </row>
    <row r="88" spans="2:14" ht="14.55" x14ac:dyDescent="0.25">
      <c r="B88" s="1238" t="s">
        <v>350</v>
      </c>
      <c r="C88" s="1238"/>
      <c r="D88" s="1238"/>
      <c r="E88" s="1238"/>
      <c r="F88" s="74"/>
      <c r="G88" s="468" t="e">
        <f>VLOOKUP($G$62,$E$78:$H$82,3)</f>
        <v>#REF!</v>
      </c>
      <c r="H88" s="468" t="e">
        <f>VLOOKUP(G62,$E$78:$H$82,4)</f>
        <v>#REF!</v>
      </c>
      <c r="I88" s="468" t="e">
        <f>VLOOKUP($G$62,$E$78:$J$82,5)</f>
        <v>#REF!</v>
      </c>
      <c r="J88" s="468" t="e">
        <f>VLOOKUP(G62,$E$78:$K$82,6)</f>
        <v>#REF!</v>
      </c>
      <c r="K88" s="468" t="e">
        <f>VLOOKUP($G$62,$E$78:$K$82,7)</f>
        <v>#REF!</v>
      </c>
      <c r="L88" s="1164" t="e">
        <f>VLOOKUP(G62,$E$78:$M$82,8)</f>
        <v>#REF!</v>
      </c>
      <c r="M88" s="1164"/>
      <c r="N88" s="469"/>
    </row>
    <row r="89" spans="2:14" ht="14.55" x14ac:dyDescent="0.25">
      <c r="B89" s="1245" t="s">
        <v>352</v>
      </c>
      <c r="C89" s="1246"/>
      <c r="D89" s="1246"/>
      <c r="E89" s="1247"/>
      <c r="F89" s="74"/>
      <c r="G89" s="529" t="e">
        <f t="shared" ref="G89:L89" si="5">G88-G87</f>
        <v>#REF!</v>
      </c>
      <c r="H89" s="529" t="e">
        <f t="shared" si="5"/>
        <v>#REF!</v>
      </c>
      <c r="I89" s="529" t="e">
        <f t="shared" si="5"/>
        <v>#REF!</v>
      </c>
      <c r="J89" s="529" t="e">
        <f t="shared" si="5"/>
        <v>#REF!</v>
      </c>
      <c r="K89" s="529" t="e">
        <f t="shared" si="5"/>
        <v>#REF!</v>
      </c>
      <c r="L89" s="1189" t="e">
        <f t="shared" si="5"/>
        <v>#REF!</v>
      </c>
      <c r="M89" s="1189"/>
      <c r="N89" s="530"/>
    </row>
    <row r="90" spans="2:14" ht="14.55" x14ac:dyDescent="0.25">
      <c r="B90" s="1238" t="s">
        <v>353</v>
      </c>
      <c r="C90" s="1238"/>
      <c r="D90" s="1238"/>
      <c r="E90" s="1238"/>
      <c r="F90" s="74"/>
      <c r="G90" s="529" t="e">
        <f>G58-H68</f>
        <v>#REF!</v>
      </c>
      <c r="H90" s="472" t="e">
        <f>G62</f>
        <v>#REF!</v>
      </c>
      <c r="I90" s="529" t="e">
        <f>I58-J68</f>
        <v>#REF!</v>
      </c>
      <c r="J90" s="472" t="e">
        <f>G62</f>
        <v>#REF!</v>
      </c>
      <c r="K90" s="529" t="e">
        <f>K58-L68</f>
        <v>#REF!</v>
      </c>
      <c r="L90" s="1190" t="e">
        <f>G62</f>
        <v>#REF!</v>
      </c>
      <c r="M90" s="1190"/>
      <c r="N90" s="531"/>
    </row>
    <row r="93" spans="2:14" x14ac:dyDescent="0.25">
      <c r="B93" s="383" t="s">
        <v>354</v>
      </c>
    </row>
    <row r="95" spans="2:14" ht="14.55" x14ac:dyDescent="0.25">
      <c r="B95" s="74"/>
      <c r="C95" s="74"/>
      <c r="D95" s="465"/>
      <c r="E95" s="74"/>
      <c r="F95" s="465"/>
      <c r="G95" s="463" t="s">
        <v>148</v>
      </c>
      <c r="H95" s="464" t="s">
        <v>342</v>
      </c>
      <c r="I95" s="463" t="s">
        <v>148</v>
      </c>
      <c r="J95" s="464" t="s">
        <v>342</v>
      </c>
      <c r="K95" s="463" t="s">
        <v>148</v>
      </c>
      <c r="L95" s="1188" t="s">
        <v>342</v>
      </c>
      <c r="M95" s="1188"/>
      <c r="N95" s="465"/>
    </row>
    <row r="96" spans="2:14" ht="14.55" x14ac:dyDescent="0.25">
      <c r="B96" s="1238" t="s">
        <v>355</v>
      </c>
      <c r="C96" s="1238"/>
      <c r="D96" s="1238"/>
      <c r="E96" s="1238"/>
      <c r="F96" s="473"/>
      <c r="G96" s="468" t="e">
        <f t="shared" ref="G96:L96" si="6">G87</f>
        <v>#REF!</v>
      </c>
      <c r="H96" s="468" t="e">
        <f t="shared" si="6"/>
        <v>#REF!</v>
      </c>
      <c r="I96" s="468" t="e">
        <f t="shared" si="6"/>
        <v>#REF!</v>
      </c>
      <c r="J96" s="468" t="e">
        <f t="shared" si="6"/>
        <v>#REF!</v>
      </c>
      <c r="K96" s="468" t="e">
        <f t="shared" si="6"/>
        <v>#REF!</v>
      </c>
      <c r="L96" s="1164" t="e">
        <f t="shared" si="6"/>
        <v>#REF!</v>
      </c>
      <c r="M96" s="1164"/>
      <c r="N96" s="469"/>
    </row>
    <row r="97" spans="2:22" ht="14.55" x14ac:dyDescent="0.25">
      <c r="B97" s="1238" t="s">
        <v>356</v>
      </c>
      <c r="C97" s="1238"/>
      <c r="D97" s="1238"/>
      <c r="E97" s="1238"/>
      <c r="F97" s="473"/>
      <c r="G97" s="468" t="e">
        <f>G90</f>
        <v>#REF!</v>
      </c>
      <c r="H97" s="468" t="e">
        <f>G90</f>
        <v>#REF!</v>
      </c>
      <c r="I97" s="468" t="e">
        <f>I90</f>
        <v>#REF!</v>
      </c>
      <c r="J97" s="468" t="e">
        <f>I90</f>
        <v>#REF!</v>
      </c>
      <c r="K97" s="468" t="e">
        <f>K90</f>
        <v>#REF!</v>
      </c>
      <c r="L97" s="1164" t="e">
        <f>K90</f>
        <v>#REF!</v>
      </c>
      <c r="M97" s="1164"/>
      <c r="N97" s="469"/>
    </row>
    <row r="98" spans="2:22" ht="14.55" x14ac:dyDescent="0.25">
      <c r="B98" s="1238" t="s">
        <v>357</v>
      </c>
      <c r="C98" s="1238"/>
      <c r="D98" s="1238"/>
      <c r="E98" s="1238"/>
      <c r="F98" s="473"/>
      <c r="G98" s="468" t="e">
        <f t="shared" ref="G98:L98" si="7">G89</f>
        <v>#REF!</v>
      </c>
      <c r="H98" s="468" t="e">
        <f t="shared" si="7"/>
        <v>#REF!</v>
      </c>
      <c r="I98" s="468" t="e">
        <f t="shared" si="7"/>
        <v>#REF!</v>
      </c>
      <c r="J98" s="468" t="e">
        <f t="shared" si="7"/>
        <v>#REF!</v>
      </c>
      <c r="K98" s="468" t="e">
        <f t="shared" si="7"/>
        <v>#REF!</v>
      </c>
      <c r="L98" s="1164" t="e">
        <f t="shared" si="7"/>
        <v>#REF!</v>
      </c>
      <c r="M98" s="1164"/>
      <c r="N98" s="469"/>
    </row>
    <row r="99" spans="2:22" ht="14.55" x14ac:dyDescent="0.25">
      <c r="B99" s="1238" t="s">
        <v>358</v>
      </c>
      <c r="C99" s="1238"/>
      <c r="D99" s="1238"/>
      <c r="E99" s="1238"/>
      <c r="F99" s="473"/>
      <c r="G99" s="468" t="e">
        <f>H76-H68</f>
        <v>#REF!</v>
      </c>
      <c r="H99" s="468" t="e">
        <f>H76-H68</f>
        <v>#REF!</v>
      </c>
      <c r="I99" s="468" t="e">
        <f>J76-J68</f>
        <v>#REF!</v>
      </c>
      <c r="J99" s="468" t="e">
        <f>J76-J68</f>
        <v>#REF!</v>
      </c>
      <c r="K99" s="468" t="e">
        <f>L76-L68</f>
        <v>#REF!</v>
      </c>
      <c r="L99" s="1164" t="e">
        <f>L76-L68</f>
        <v>#REF!</v>
      </c>
      <c r="M99" s="1164"/>
      <c r="N99" s="469"/>
    </row>
    <row r="100" spans="2:22" ht="15.2" thickBot="1" x14ac:dyDescent="0.3">
      <c r="B100" s="74"/>
      <c r="C100" s="74"/>
      <c r="D100" s="74"/>
      <c r="E100" s="460"/>
      <c r="F100" s="460"/>
      <c r="G100" s="474"/>
      <c r="H100" s="74"/>
    </row>
    <row r="101" spans="2:22" ht="14.55" x14ac:dyDescent="0.25">
      <c r="B101" s="392"/>
      <c r="C101" s="1188"/>
      <c r="D101" s="387" t="s">
        <v>148</v>
      </c>
      <c r="E101" s="393"/>
      <c r="F101" s="469"/>
      <c r="G101" s="74"/>
      <c r="H101" s="476" t="e">
        <f>IF(G99=0,0,G96+((G97*G98)/G99))</f>
        <v>#REF!</v>
      </c>
      <c r="J101" s="476" t="e">
        <f>IF(I99=0,0,I96+((I97*I98)/I99))</f>
        <v>#REF!</v>
      </c>
      <c r="L101" s="1165" t="e">
        <f>IF(K99=0,0,K96+((K97*K98)/K99))</f>
        <v>#REF!</v>
      </c>
      <c r="M101" s="1166"/>
      <c r="N101" s="469"/>
    </row>
    <row r="102" spans="2:22" ht="14.55" x14ac:dyDescent="0.25">
      <c r="B102" s="394" t="s">
        <v>359</v>
      </c>
      <c r="C102" s="1188"/>
      <c r="D102" s="387" t="s">
        <v>339</v>
      </c>
      <c r="E102" s="393"/>
      <c r="F102" s="469"/>
      <c r="G102" s="74"/>
      <c r="H102" s="477" t="e">
        <f>((H105-H101)*0.25)+H101</f>
        <v>#REF!</v>
      </c>
      <c r="J102" s="477" t="e">
        <f>((J105-J101)*0.25)+J101</f>
        <v>#REF!</v>
      </c>
      <c r="L102" s="1167" t="e">
        <f>((L105-L101)*0.25)+L101</f>
        <v>#REF!</v>
      </c>
      <c r="M102" s="1168"/>
      <c r="N102" s="469"/>
    </row>
    <row r="103" spans="2:22" ht="14.55" x14ac:dyDescent="0.25">
      <c r="B103" s="394"/>
      <c r="C103" s="1188"/>
      <c r="D103" s="387" t="s">
        <v>340</v>
      </c>
      <c r="E103" s="393"/>
      <c r="F103" s="469"/>
      <c r="G103" s="74"/>
      <c r="H103" s="477" t="e">
        <f>(H105+H101)/2</f>
        <v>#REF!</v>
      </c>
      <c r="J103" s="477" t="e">
        <f>(J105+J101)/2</f>
        <v>#REF!</v>
      </c>
      <c r="L103" s="1167" t="e">
        <f>(L105+L101)/2</f>
        <v>#REF!</v>
      </c>
      <c r="M103" s="1168"/>
      <c r="N103" s="469"/>
    </row>
    <row r="104" spans="2:22" ht="14.55" x14ac:dyDescent="0.25">
      <c r="B104" s="394" t="s">
        <v>360</v>
      </c>
      <c r="C104" s="1188"/>
      <c r="D104" s="387" t="s">
        <v>341</v>
      </c>
      <c r="E104" s="393"/>
      <c r="F104" s="469"/>
      <c r="G104" s="74"/>
      <c r="H104" s="477" t="e">
        <f>((H105-H101)*0.75)+H101</f>
        <v>#REF!</v>
      </c>
      <c r="J104" s="477" t="e">
        <f>((J105-J101)*0.75)+J101</f>
        <v>#REF!</v>
      </c>
      <c r="L104" s="1167" t="e">
        <f>((L105-L101)*0.75)+L101</f>
        <v>#REF!</v>
      </c>
      <c r="M104" s="1168"/>
      <c r="N104" s="469"/>
    </row>
    <row r="105" spans="2:22" ht="15.2" thickBot="1" x14ac:dyDescent="0.3">
      <c r="B105" s="395"/>
      <c r="C105" s="1188"/>
      <c r="D105" s="387" t="s">
        <v>342</v>
      </c>
      <c r="E105" s="393"/>
      <c r="F105" s="469"/>
      <c r="G105" s="74"/>
      <c r="H105" s="478" t="e">
        <f>IF(H99=0,0,H96+((H97*H98)/H99))</f>
        <v>#REF!</v>
      </c>
      <c r="J105" s="478" t="e">
        <f>IF(J99=0,0,J96+((J97*J98)/J99))</f>
        <v>#REF!</v>
      </c>
      <c r="L105" s="1169" t="e">
        <f>IF(L99=0,0,L96+((L97*L98)/L99))</f>
        <v>#REF!</v>
      </c>
      <c r="M105" s="1170"/>
      <c r="N105" s="469"/>
    </row>
    <row r="107" spans="2:22" ht="15.2" thickBot="1" x14ac:dyDescent="0.35">
      <c r="B107" s="74"/>
      <c r="C107" s="74"/>
      <c r="D107" s="74"/>
      <c r="E107" s="74"/>
      <c r="F107" s="74"/>
      <c r="G107" s="1179" t="s">
        <v>343</v>
      </c>
      <c r="H107" s="1179"/>
      <c r="I107" s="1180" t="s">
        <v>344</v>
      </c>
      <c r="J107" s="1180"/>
      <c r="K107" s="1185" t="s">
        <v>345</v>
      </c>
      <c r="L107" s="1185"/>
      <c r="M107" s="1185"/>
      <c r="N107" s="449"/>
    </row>
    <row r="108" spans="2:22" ht="15.2" thickBot="1" x14ac:dyDescent="0.3">
      <c r="B108" s="1227" t="s">
        <v>361</v>
      </c>
      <c r="C108" s="1228"/>
      <c r="D108" s="1228"/>
      <c r="E108" s="1229"/>
      <c r="F108" s="74"/>
      <c r="G108" s="479" t="e">
        <f>G62</f>
        <v>#REF!</v>
      </c>
      <c r="H108" s="480" t="e">
        <f>IF($G$63="Basishonorarsatz",H101,IF($G$63="Viertelsatz",H102,IF($G$63="Mittelsatz",H103,IF($G$63="Dreiviertelsatz",H104,H105))))</f>
        <v>#REF!</v>
      </c>
      <c r="I108" s="532"/>
      <c r="J108" s="533" t="e">
        <f>IF($G$63="Basishonorarsatz",J101,IF($G$63="Viertelsatz",J102,IF($G$63="Mittelsatz",J103,IF($G$63="Dreiviertelsatz",J104,J105))))</f>
        <v>#REF!</v>
      </c>
      <c r="K108" s="532"/>
      <c r="L108" s="1235" t="e">
        <f>IF($G$63="Basishonorarsatz",L101,IF($G$63="Viertelsatz",L102,IF($G$63="Mittelsatz",L103,IF($G$63="Dreiviertelsatz",L104,L105))))</f>
        <v>#REF!</v>
      </c>
      <c r="M108" s="1236"/>
      <c r="N108" s="534"/>
    </row>
    <row r="109" spans="2:22" ht="14.55" thickBot="1" x14ac:dyDescent="0.3">
      <c r="B109" s="73" t="s">
        <v>125</v>
      </c>
    </row>
    <row r="110" spans="2:22" ht="15" customHeight="1" thickBot="1" x14ac:dyDescent="0.3">
      <c r="B110" s="73" t="s">
        <v>362</v>
      </c>
      <c r="G110" s="487"/>
      <c r="H110" s="1267" t="s">
        <v>363</v>
      </c>
      <c r="I110" s="1268"/>
      <c r="J110" s="1268"/>
      <c r="K110" s="1269"/>
      <c r="L110" s="583"/>
      <c r="M110" s="584"/>
    </row>
    <row r="111" spans="2:22" ht="14.55" thickBot="1" x14ac:dyDescent="0.3">
      <c r="B111" s="73" t="s">
        <v>364</v>
      </c>
      <c r="G111" s="488"/>
      <c r="H111" s="1270" t="s">
        <v>487</v>
      </c>
      <c r="I111" s="1271"/>
      <c r="J111" s="1186" t="s">
        <v>366</v>
      </c>
      <c r="K111" s="1187"/>
      <c r="L111" s="543"/>
      <c r="M111" s="543"/>
      <c r="T111" s="383"/>
      <c r="U111" s="383"/>
      <c r="V111" s="383"/>
    </row>
    <row r="112" spans="2:22" ht="14.55" x14ac:dyDescent="0.3">
      <c r="B112" s="73" t="s">
        <v>369</v>
      </c>
      <c r="G112" s="489">
        <v>1</v>
      </c>
      <c r="H112" s="1272" t="e">
        <f>IF(#REF!="ja",#REF!,0)</f>
        <v>#REF!</v>
      </c>
      <c r="I112" s="1273"/>
      <c r="J112" s="1283" t="e">
        <f>IF(#REF!="ja",#REF!,0)</f>
        <v>#REF!</v>
      </c>
      <c r="K112" s="1284"/>
      <c r="L112" s="543" t="e">
        <f>H112+J112</f>
        <v>#REF!</v>
      </c>
      <c r="M112" s="543"/>
      <c r="T112" s="384"/>
      <c r="U112" s="384"/>
      <c r="V112" s="384"/>
    </row>
    <row r="113" spans="2:22" ht="14.55" x14ac:dyDescent="0.3">
      <c r="G113" s="491">
        <v>2</v>
      </c>
      <c r="H113" s="1158" t="e">
        <f>IF(#REF!="ja",#REF!,0)</f>
        <v>#REF!</v>
      </c>
      <c r="I113" s="1159"/>
      <c r="J113" s="1160" t="e">
        <f>IF(#REF!="ja",#REF!,0)</f>
        <v>#REF!</v>
      </c>
      <c r="K113" s="1161"/>
      <c r="L113" s="543" t="e">
        <f t="shared" ref="L113:L121" si="8">H113+J113</f>
        <v>#REF!</v>
      </c>
      <c r="M113" s="543"/>
      <c r="T113" s="385"/>
      <c r="U113" s="274"/>
      <c r="V113" s="385"/>
    </row>
    <row r="114" spans="2:22" ht="14.55" x14ac:dyDescent="0.3">
      <c r="B114" s="73" t="s">
        <v>125</v>
      </c>
      <c r="G114" s="491">
        <v>3</v>
      </c>
      <c r="H114" s="1158" t="e">
        <f>IF(#REF!="ja",#REF!,0)</f>
        <v>#REF!</v>
      </c>
      <c r="I114" s="1159"/>
      <c r="J114" s="1160" t="e">
        <f>IF(#REF!="ja",#REF!,0)</f>
        <v>#REF!</v>
      </c>
      <c r="K114" s="1161"/>
      <c r="L114" s="543" t="e">
        <f t="shared" si="8"/>
        <v>#REF!</v>
      </c>
      <c r="M114" s="543"/>
      <c r="T114" s="273"/>
      <c r="U114" s="274"/>
      <c r="V114" s="275"/>
    </row>
    <row r="115" spans="2:22" ht="14.55" x14ac:dyDescent="0.3">
      <c r="B115" s="73" t="s">
        <v>370</v>
      </c>
      <c r="G115" s="491">
        <v>4</v>
      </c>
      <c r="H115" s="1158" t="e">
        <f>IF(#REF!="ja",#REF!,0)</f>
        <v>#REF!</v>
      </c>
      <c r="I115" s="1159"/>
      <c r="J115" s="1160" t="e">
        <f>IF(#REF!="ja",#REF!,0)</f>
        <v>#REF!</v>
      </c>
      <c r="K115" s="1161"/>
      <c r="L115" s="543" t="e">
        <f t="shared" si="8"/>
        <v>#REF!</v>
      </c>
      <c r="M115" s="543"/>
      <c r="T115" s="273"/>
      <c r="U115" s="274"/>
      <c r="V115" s="275"/>
    </row>
    <row r="116" spans="2:22" ht="14.55" x14ac:dyDescent="0.3">
      <c r="G116" s="491" t="s">
        <v>371</v>
      </c>
      <c r="H116" s="1158" t="e">
        <f>IF(#REF!="ja",#REF!,0)</f>
        <v>#REF!</v>
      </c>
      <c r="I116" s="1159"/>
      <c r="J116" s="1160" t="e">
        <f>IF(#REF!="ja",#REF!+#REF!+#REF!,0)</f>
        <v>#REF!</v>
      </c>
      <c r="K116" s="1161"/>
      <c r="L116" s="543" t="e">
        <f t="shared" si="8"/>
        <v>#REF!</v>
      </c>
      <c r="M116" s="543"/>
      <c r="T116" s="273"/>
      <c r="U116" s="274"/>
      <c r="V116" s="275"/>
    </row>
    <row r="117" spans="2:22" ht="14.55" x14ac:dyDescent="0.3">
      <c r="G117" s="491" t="s">
        <v>372</v>
      </c>
      <c r="H117" s="1158" t="e">
        <f>IF(#REF!="ja",#REF!,0)</f>
        <v>#REF!</v>
      </c>
      <c r="I117" s="1159"/>
      <c r="J117" s="1160" t="e">
        <f>IF(#REF!="ja",#REF!,0)</f>
        <v>#REF!</v>
      </c>
      <c r="K117" s="1161"/>
      <c r="L117" s="543" t="e">
        <f t="shared" si="8"/>
        <v>#REF!</v>
      </c>
      <c r="M117" s="543"/>
      <c r="T117" s="273"/>
      <c r="U117" s="274"/>
      <c r="V117" s="275"/>
    </row>
    <row r="118" spans="2:22" ht="14.55" x14ac:dyDescent="0.3">
      <c r="G118" s="491" t="s">
        <v>373</v>
      </c>
      <c r="H118" s="1158" t="e">
        <f>IF(#REF!="ja",#REF!,0)</f>
        <v>#REF!</v>
      </c>
      <c r="I118" s="1159"/>
      <c r="J118" s="1160" t="e">
        <f>IF(#REF!="ja",#REF!+#REF!,0)</f>
        <v>#REF!</v>
      </c>
      <c r="K118" s="1161"/>
      <c r="L118" s="543" t="e">
        <f t="shared" si="8"/>
        <v>#REF!</v>
      </c>
      <c r="M118" s="543"/>
      <c r="T118" s="273"/>
      <c r="U118" s="274"/>
      <c r="V118" s="275"/>
    </row>
    <row r="119" spans="2:22" ht="14.55" x14ac:dyDescent="0.3">
      <c r="G119" s="491" t="s">
        <v>374</v>
      </c>
      <c r="H119" s="1158" t="e">
        <f>IF(#REF!="ja",#REF!,0)</f>
        <v>#REF!</v>
      </c>
      <c r="I119" s="1159"/>
      <c r="J119" s="1160" t="e">
        <f>IF(#REF!="ja",#REF!+#REF!,0)</f>
        <v>#REF!</v>
      </c>
      <c r="K119" s="1161"/>
      <c r="L119" s="543" t="e">
        <f t="shared" si="8"/>
        <v>#REF!</v>
      </c>
      <c r="M119" s="543"/>
      <c r="T119" s="273"/>
      <c r="U119" s="274"/>
      <c r="V119" s="275"/>
    </row>
    <row r="120" spans="2:22" ht="14.55" x14ac:dyDescent="0.3">
      <c r="G120" s="491" t="s">
        <v>375</v>
      </c>
      <c r="H120" s="1158" t="e">
        <f>IF(#REF!="ja",#REF!,0)</f>
        <v>#REF!</v>
      </c>
      <c r="I120" s="1159"/>
      <c r="J120" s="1160" t="e">
        <f>IF(#REF!="ja",#REF!,0)</f>
        <v>#REF!</v>
      </c>
      <c r="K120" s="1161"/>
      <c r="L120" s="543" t="e">
        <f t="shared" si="8"/>
        <v>#REF!</v>
      </c>
      <c r="M120" s="543"/>
      <c r="T120" s="273"/>
      <c r="U120" s="274"/>
      <c r="V120" s="275"/>
    </row>
    <row r="121" spans="2:22" ht="15.2" thickBot="1" x14ac:dyDescent="0.35">
      <c r="G121" s="492">
        <v>6</v>
      </c>
      <c r="H121" s="1158" t="e">
        <f>IF(#REF!="ja",#REF!,0)</f>
        <v>#REF!</v>
      </c>
      <c r="I121" s="1159"/>
      <c r="J121" s="1160" t="e">
        <f>IF(#REF!="ja",#REF!,0)</f>
        <v>#REF!</v>
      </c>
      <c r="K121" s="1161"/>
      <c r="L121" s="543" t="e">
        <f t="shared" si="8"/>
        <v>#REF!</v>
      </c>
      <c r="M121" s="543"/>
      <c r="T121" s="273"/>
      <c r="U121" s="274"/>
      <c r="V121" s="275"/>
    </row>
    <row r="122" spans="2:22" ht="15.2" thickBot="1" x14ac:dyDescent="0.35">
      <c r="G122" s="494" t="s">
        <v>377</v>
      </c>
      <c r="H122" s="1216" t="e">
        <f>SUM(H112:I121)</f>
        <v>#REF!</v>
      </c>
      <c r="I122" s="1217"/>
      <c r="J122" s="1220" t="e">
        <f>SUM(J112:K121)</f>
        <v>#REF!</v>
      </c>
      <c r="K122" s="1221"/>
      <c r="L122" s="564"/>
      <c r="M122" s="564"/>
      <c r="T122" s="273"/>
      <c r="U122" s="274"/>
      <c r="V122" s="275"/>
    </row>
    <row r="123" spans="2:22" ht="14.25" customHeight="1" thickBot="1" x14ac:dyDescent="0.35">
      <c r="G123" s="494" t="s">
        <v>488</v>
      </c>
      <c r="H123" s="1214" t="e">
        <f>H122*#REF!+H122</f>
        <v>#REF!</v>
      </c>
      <c r="I123" s="1215"/>
      <c r="J123" s="542"/>
      <c r="T123" s="273"/>
      <c r="U123" s="274"/>
      <c r="V123" s="275"/>
    </row>
    <row r="124" spans="2:22" ht="14.55" x14ac:dyDescent="0.3">
      <c r="K124" s="543"/>
      <c r="T124" s="273"/>
      <c r="U124" s="274"/>
      <c r="V124" s="275"/>
    </row>
    <row r="125" spans="2:22" ht="15.2" thickBot="1" x14ac:dyDescent="0.35">
      <c r="T125" s="273"/>
      <c r="U125" s="274"/>
      <c r="V125" s="275"/>
    </row>
    <row r="126" spans="2:22" ht="15.2" thickBot="1" x14ac:dyDescent="0.35">
      <c r="B126" s="544" t="s">
        <v>115</v>
      </c>
      <c r="C126" s="498" t="s">
        <v>306</v>
      </c>
      <c r="D126" s="499" t="s">
        <v>307</v>
      </c>
      <c r="E126" s="499" t="s">
        <v>308</v>
      </c>
      <c r="F126" s="499" t="s">
        <v>309</v>
      </c>
      <c r="G126" s="499" t="s">
        <v>310</v>
      </c>
      <c r="H126" s="499" t="s">
        <v>311</v>
      </c>
      <c r="I126" s="499" t="s">
        <v>312</v>
      </c>
      <c r="J126" s="499" t="s">
        <v>313</v>
      </c>
      <c r="K126" s="499" t="s">
        <v>314</v>
      </c>
      <c r="L126" s="499"/>
      <c r="M126" s="499" t="s">
        <v>316</v>
      </c>
      <c r="N126" s="499"/>
      <c r="O126" s="499"/>
      <c r="P126" s="499"/>
      <c r="Q126" s="545" t="s">
        <v>380</v>
      </c>
      <c r="T126" s="273"/>
      <c r="U126" s="274"/>
      <c r="V126" s="275"/>
    </row>
    <row r="127" spans="2:22" ht="14.55" x14ac:dyDescent="0.3">
      <c r="B127" s="501">
        <f>IF(Überblick!$H$53&gt;=1,1,"")</f>
        <v>1</v>
      </c>
      <c r="C127" s="546" t="e">
        <f>IF($B127=#REF!,H112*#REF!+H112+J112,0)</f>
        <v>#REF!</v>
      </c>
      <c r="D127" s="547" t="e">
        <f>IF($B127=#REF!,#REF!*#REF!+#REF!+#REF!,0)</f>
        <v>#REF!</v>
      </c>
      <c r="E127" s="547" t="e">
        <f>IF($B127=#REF!,#REF!*#REF!+#REF!+#REF!,0)</f>
        <v>#REF!</v>
      </c>
      <c r="F127" s="547" t="e">
        <f>IF($B127=#REF!,#REF!*#REF!+#REF!+#REF!,0)</f>
        <v>#REF!</v>
      </c>
      <c r="G127" s="547" t="e">
        <f>IF($B127=#REF!,#REF!*#REF!+#REF!+#REF!+#REF!+#REF!,0)</f>
        <v>#REF!</v>
      </c>
      <c r="H127" s="547" t="e">
        <f>IF($B127=#REF!,#REF!*#REF!+#REF!+#REF!,0)</f>
        <v>#REF!</v>
      </c>
      <c r="I127" s="547" t="e">
        <f>IF($B127=#REF!,#REF!*#REF!+#REF!+#REF!+#REF!,0)</f>
        <v>#REF!</v>
      </c>
      <c r="J127" s="547" t="e">
        <f>IF($B127=#REF!,#REF!*#REF!+#REF!+#REF!+#REF!,0)</f>
        <v>#REF!</v>
      </c>
      <c r="K127" s="547" t="e">
        <f>IF($B127=#REF!,#REF!*#REF!+#REF!+#REF!,0)</f>
        <v>#REF!</v>
      </c>
      <c r="L127" s="547"/>
      <c r="M127" s="547" t="e">
        <f>IF($B127=#REF!,#REF!*#REF!+#REF!+#REF!,0)</f>
        <v>#REF!</v>
      </c>
      <c r="N127" s="547"/>
      <c r="O127" s="547"/>
      <c r="P127" s="547"/>
      <c r="Q127" s="588" t="e">
        <f t="shared" ref="Q127:Q134" si="9">SUM(C127:P127)</f>
        <v>#REF!</v>
      </c>
      <c r="T127" s="273"/>
      <c r="U127" s="274"/>
      <c r="V127" s="275"/>
    </row>
    <row r="128" spans="2:22" ht="14.55" x14ac:dyDescent="0.3">
      <c r="B128" s="505">
        <f>IF(Überblick!$H$53&gt;=2,2,"")</f>
        <v>2</v>
      </c>
      <c r="C128" s="550" t="e">
        <f>IF($B128=#REF!,H113*#REF!+H113+J113,0)</f>
        <v>#REF!</v>
      </c>
      <c r="D128" s="551" t="e">
        <f>IF($B128=#REF!,#REF!*#REF!+#REF!+#REF!,0)</f>
        <v>#REF!</v>
      </c>
      <c r="E128" s="551" t="e">
        <f>IF($B128=#REF!,#REF!*#REF!+#REF!+#REF!,0)</f>
        <v>#REF!</v>
      </c>
      <c r="F128" s="551" t="e">
        <f>IF($B128=#REF!,#REF!*#REF!+#REF!+#REF!,0)</f>
        <v>#REF!</v>
      </c>
      <c r="G128" s="551" t="e">
        <f>IF($B128=#REF!,#REF!*#REF!+#REF!+#REF!+#REF!+#REF!,0)</f>
        <v>#REF!</v>
      </c>
      <c r="H128" s="551" t="e">
        <f>IF($B128=#REF!,#REF!*#REF!+#REF!+#REF!,0)</f>
        <v>#REF!</v>
      </c>
      <c r="I128" s="551" t="e">
        <f>IF($B128=#REF!,#REF!*#REF!+#REF!+#REF!+#REF!,0)</f>
        <v>#REF!</v>
      </c>
      <c r="J128" s="551" t="e">
        <f>IF($B128=#REF!,#REF!*#REF!+#REF!+#REF!+#REF!,0)</f>
        <v>#REF!</v>
      </c>
      <c r="K128" s="551" t="e">
        <f>IF($B128=#REF!,#REF!*#REF!+#REF!+#REF!,0)</f>
        <v>#REF!</v>
      </c>
      <c r="L128" s="551"/>
      <c r="M128" s="551" t="e">
        <f>IF($B128=#REF!,#REF!*#REF!+#REF!+#REF!,0)</f>
        <v>#REF!</v>
      </c>
      <c r="N128" s="551"/>
      <c r="O128" s="551"/>
      <c r="P128" s="551"/>
      <c r="Q128" s="590" t="e">
        <f t="shared" si="9"/>
        <v>#REF!</v>
      </c>
      <c r="T128" s="273"/>
      <c r="U128" s="274"/>
      <c r="V128" s="275"/>
    </row>
    <row r="129" spans="2:22" ht="14.55" x14ac:dyDescent="0.3">
      <c r="B129" s="505">
        <f>IF(Überblick!$H$53&gt;=3,3,"")</f>
        <v>3</v>
      </c>
      <c r="C129" s="550" t="e">
        <f>IF($B129=#REF!,H114*#REF!+H114+J114,0)</f>
        <v>#REF!</v>
      </c>
      <c r="D129" s="551" t="e">
        <f>IF($B129=#REF!,#REF!*#REF!+#REF!+#REF!,0)</f>
        <v>#REF!</v>
      </c>
      <c r="E129" s="551" t="e">
        <f>IF($B129=#REF!,#REF!*#REF!+#REF!+#REF!,0)</f>
        <v>#REF!</v>
      </c>
      <c r="F129" s="551" t="e">
        <f>IF($B129=#REF!,#REF!*#REF!+#REF!+#REF!,0)</f>
        <v>#REF!</v>
      </c>
      <c r="G129" s="551" t="e">
        <f>IF($B129=#REF!,#REF!*#REF!+#REF!+#REF!+#REF!+#REF!,0)</f>
        <v>#REF!</v>
      </c>
      <c r="H129" s="551" t="e">
        <f>IF($B129=#REF!,#REF!*#REF!+#REF!+#REF!,0)</f>
        <v>#REF!</v>
      </c>
      <c r="I129" s="551" t="e">
        <f>IF($B129=#REF!,#REF!*#REF!+#REF!+#REF!+#REF!,0)</f>
        <v>#REF!</v>
      </c>
      <c r="J129" s="551" t="e">
        <f>IF($B129=#REF!,#REF!*#REF!+#REF!+#REF!+#REF!,0)</f>
        <v>#REF!</v>
      </c>
      <c r="K129" s="551" t="e">
        <f>IF($B129=#REF!,#REF!*#REF!+#REF!+#REF!,0)</f>
        <v>#REF!</v>
      </c>
      <c r="L129" s="551"/>
      <c r="M129" s="551" t="e">
        <f>IF($B129=#REF!,#REF!*#REF!+#REF!+#REF!,0)</f>
        <v>#REF!</v>
      </c>
      <c r="N129" s="551"/>
      <c r="O129" s="551"/>
      <c r="P129" s="551"/>
      <c r="Q129" s="590" t="e">
        <f t="shared" si="9"/>
        <v>#REF!</v>
      </c>
      <c r="T129" s="273"/>
      <c r="U129" s="274"/>
      <c r="V129" s="275"/>
    </row>
    <row r="130" spans="2:22" ht="14.55" x14ac:dyDescent="0.3">
      <c r="B130" s="505" t="str">
        <f>IF(Überblick!$H$53&gt;=4,4,"")</f>
        <v/>
      </c>
      <c r="C130" s="550" t="e">
        <f>IF($B130=#REF!,H115*#REF!+H115+J115,0)</f>
        <v>#REF!</v>
      </c>
      <c r="D130" s="551" t="e">
        <f>IF($B130=#REF!,#REF!*#REF!+#REF!+#REF!,0)</f>
        <v>#REF!</v>
      </c>
      <c r="E130" s="551" t="e">
        <f>IF($B130=#REF!,#REF!*#REF!+#REF!+#REF!,0)</f>
        <v>#REF!</v>
      </c>
      <c r="F130" s="551" t="e">
        <f>IF($B130=#REF!,#REF!*#REF!+#REF!+#REF!,0)</f>
        <v>#REF!</v>
      </c>
      <c r="G130" s="551" t="e">
        <f>IF($B130=#REF!,#REF!*#REF!+#REF!+#REF!+#REF!+#REF!,0)</f>
        <v>#REF!</v>
      </c>
      <c r="H130" s="551" t="e">
        <f>IF($B130=#REF!,#REF!*#REF!+#REF!+#REF!,0)</f>
        <v>#REF!</v>
      </c>
      <c r="I130" s="551" t="e">
        <f>IF($B130=#REF!,#REF!*#REF!+#REF!+#REF!+#REF!,0)</f>
        <v>#REF!</v>
      </c>
      <c r="J130" s="551" t="e">
        <f>IF($B130=#REF!,#REF!*#REF!+#REF!+#REF!+#REF!,0)</f>
        <v>#REF!</v>
      </c>
      <c r="K130" s="551" t="e">
        <f>IF($B130=#REF!,#REF!*#REF!+#REF!+#REF!,0)</f>
        <v>#REF!</v>
      </c>
      <c r="L130" s="551"/>
      <c r="M130" s="551" t="e">
        <f>IF($B130=#REF!,#REF!*#REF!+#REF!+#REF!,0)</f>
        <v>#REF!</v>
      </c>
      <c r="N130" s="551"/>
      <c r="O130" s="551"/>
      <c r="P130" s="551"/>
      <c r="Q130" s="590" t="e">
        <f>SUM(C130:P130)</f>
        <v>#REF!</v>
      </c>
      <c r="T130" s="273"/>
      <c r="U130" s="274"/>
      <c r="V130" s="275"/>
    </row>
    <row r="131" spans="2:22" ht="14.55" x14ac:dyDescent="0.3">
      <c r="B131" s="505" t="str">
        <f>IF(Überblick!$H$53&gt;=5,5,"")</f>
        <v/>
      </c>
      <c r="C131" s="550" t="e">
        <f>IF($B131=#REF!,H116*#REF!+H116+J116,0)</f>
        <v>#REF!</v>
      </c>
      <c r="D131" s="551" t="e">
        <f>IF($B131=#REF!,#REF!*#REF!+#REF!+#REF!,0)</f>
        <v>#REF!</v>
      </c>
      <c r="E131" s="551" t="e">
        <f>IF($B131=#REF!,#REF!*#REF!+#REF!+#REF!,0)</f>
        <v>#REF!</v>
      </c>
      <c r="F131" s="551" t="e">
        <f>IF($B131=#REF!,#REF!*#REF!+#REF!+#REF!,0)</f>
        <v>#REF!</v>
      </c>
      <c r="G131" s="551" t="e">
        <f>IF($B131=#REF!,#REF!*#REF!+#REF!+#REF!+#REF!+#REF!,0)</f>
        <v>#REF!</v>
      </c>
      <c r="H131" s="551" t="e">
        <f>IF($B131=#REF!,#REF!*#REF!+#REF!+#REF!,0)</f>
        <v>#REF!</v>
      </c>
      <c r="I131" s="551" t="e">
        <f>IF($B131=#REF!,#REF!*#REF!+#REF!+#REF!+#REF!,0)</f>
        <v>#REF!</v>
      </c>
      <c r="J131" s="551" t="e">
        <f>IF($B131=#REF!,#REF!*#REF!+#REF!+#REF!+#REF!,0)</f>
        <v>#REF!</v>
      </c>
      <c r="K131" s="551" t="e">
        <f>IF($B131=#REF!,#REF!*#REF!+#REF!+#REF!,0)</f>
        <v>#REF!</v>
      </c>
      <c r="L131" s="551"/>
      <c r="M131" s="551" t="e">
        <f>IF($B131=#REF!,#REF!*#REF!+#REF!+#REF!,0)</f>
        <v>#REF!</v>
      </c>
      <c r="N131" s="551"/>
      <c r="O131" s="551"/>
      <c r="P131" s="551"/>
      <c r="Q131" s="590" t="e">
        <f t="shared" si="9"/>
        <v>#REF!</v>
      </c>
      <c r="T131" s="273"/>
      <c r="U131" s="274"/>
      <c r="V131" s="275"/>
    </row>
    <row r="132" spans="2:22" ht="14.55" x14ac:dyDescent="0.3">
      <c r="B132" s="505" t="str">
        <f>IF(Überblick!$H$53&gt;=6,6,"")</f>
        <v/>
      </c>
      <c r="C132" s="550" t="e">
        <f>IF($B132=#REF!,H117*#REF!+H117+J117,0)</f>
        <v>#REF!</v>
      </c>
      <c r="D132" s="551" t="e">
        <f>IF($B132=#REF!,#REF!*#REF!+#REF!+#REF!,0)</f>
        <v>#REF!</v>
      </c>
      <c r="E132" s="551" t="e">
        <f>IF($B132=#REF!,#REF!*#REF!+#REF!+#REF!,0)</f>
        <v>#REF!</v>
      </c>
      <c r="F132" s="551" t="e">
        <f>IF($B132=#REF!,#REF!*#REF!+#REF!+#REF!,0)</f>
        <v>#REF!</v>
      </c>
      <c r="G132" s="551" t="e">
        <f>IF($B132=#REF!,#REF!*#REF!+#REF!+#REF!+#REF!+#REF!,0)</f>
        <v>#REF!</v>
      </c>
      <c r="H132" s="551" t="e">
        <f>IF($B132=#REF!,#REF!*#REF!+#REF!+#REF!,0)</f>
        <v>#REF!</v>
      </c>
      <c r="I132" s="551" t="e">
        <f>IF($B132=#REF!,#REF!*#REF!+#REF!+#REF!+#REF!,0)</f>
        <v>#REF!</v>
      </c>
      <c r="J132" s="551" t="e">
        <f>IF($B132=#REF!,#REF!*#REF!+#REF!+#REF!+#REF!,0)</f>
        <v>#REF!</v>
      </c>
      <c r="K132" s="551" t="e">
        <f>IF($B132=#REF!,#REF!*#REF!+#REF!+#REF!,0)</f>
        <v>#REF!</v>
      </c>
      <c r="L132" s="551"/>
      <c r="M132" s="551" t="e">
        <f>IF($B132=#REF!,#REF!*#REF!+#REF!+#REF!,0)</f>
        <v>#REF!</v>
      </c>
      <c r="N132" s="551"/>
      <c r="O132" s="551"/>
      <c r="P132" s="551"/>
      <c r="Q132" s="590" t="e">
        <f t="shared" si="9"/>
        <v>#REF!</v>
      </c>
      <c r="T132" s="273"/>
      <c r="U132" s="274"/>
      <c r="V132" s="275"/>
    </row>
    <row r="133" spans="2:22" ht="14.55" x14ac:dyDescent="0.3">
      <c r="B133" s="505" t="str">
        <f>IF(Überblick!$H$53&gt;=7,7,"")</f>
        <v/>
      </c>
      <c r="C133" s="550" t="e">
        <f>IF($B133=#REF!,H118*#REF!+H118+J118,0)</f>
        <v>#REF!</v>
      </c>
      <c r="D133" s="551" t="e">
        <f>IF($B133=#REF!,#REF!*#REF!+#REF!+#REF!,0)</f>
        <v>#REF!</v>
      </c>
      <c r="E133" s="551" t="e">
        <f>IF($B133=#REF!,#REF!*#REF!+#REF!+#REF!,0)</f>
        <v>#REF!</v>
      </c>
      <c r="F133" s="551" t="e">
        <f>IF($B133=#REF!,#REF!*#REF!+#REF!+#REF!,0)</f>
        <v>#REF!</v>
      </c>
      <c r="G133" s="551" t="e">
        <f>IF($B133=#REF!,#REF!*#REF!+#REF!+#REF!+#REF!+#REF!,0)</f>
        <v>#REF!</v>
      </c>
      <c r="H133" s="551" t="e">
        <f>IF($B133=#REF!,#REF!*#REF!+#REF!+#REF!,0)</f>
        <v>#REF!</v>
      </c>
      <c r="I133" s="551" t="e">
        <f>IF($B133=#REF!,#REF!*#REF!+#REF!+#REF!+#REF!,0)</f>
        <v>#REF!</v>
      </c>
      <c r="J133" s="551" t="e">
        <f>IF($B133=#REF!,#REF!*#REF!+#REF!+#REF!+#REF!,0)</f>
        <v>#REF!</v>
      </c>
      <c r="K133" s="551" t="e">
        <f>IF($B133=#REF!,#REF!*#REF!+#REF!+#REF!,0)</f>
        <v>#REF!</v>
      </c>
      <c r="L133" s="551"/>
      <c r="M133" s="551" t="e">
        <f>IF($B133=#REF!,#REF!*#REF!+#REF!+#REF!,0)</f>
        <v>#REF!</v>
      </c>
      <c r="N133" s="551"/>
      <c r="O133" s="551"/>
      <c r="P133" s="551"/>
      <c r="Q133" s="590" t="e">
        <f t="shared" si="9"/>
        <v>#REF!</v>
      </c>
      <c r="T133" s="273"/>
      <c r="U133" s="274"/>
      <c r="V133" s="275"/>
    </row>
    <row r="134" spans="2:22" ht="14.55" x14ac:dyDescent="0.3">
      <c r="B134" s="505" t="str">
        <f>IF(Überblick!$H$53&gt;=8,8,"")</f>
        <v/>
      </c>
      <c r="C134" s="550" t="e">
        <f>IF($B134=#REF!,H119*#REF!+H119+J119,0)</f>
        <v>#REF!</v>
      </c>
      <c r="D134" s="551" t="e">
        <f>IF($B134=#REF!,#REF!*#REF!+#REF!+#REF!,0)</f>
        <v>#REF!</v>
      </c>
      <c r="E134" s="551" t="e">
        <f>IF($B134=#REF!,#REF!*#REF!+#REF!+#REF!,0)</f>
        <v>#REF!</v>
      </c>
      <c r="F134" s="551" t="e">
        <f>IF($B134=#REF!,#REF!*#REF!+#REF!+#REF!,0)</f>
        <v>#REF!</v>
      </c>
      <c r="G134" s="551" t="e">
        <f>IF($B134=#REF!,#REF!*#REF!+#REF!+#REF!+#REF!+#REF!,0)</f>
        <v>#REF!</v>
      </c>
      <c r="H134" s="551" t="e">
        <f>IF($B134=#REF!,#REF!*#REF!+#REF!+#REF!,0)</f>
        <v>#REF!</v>
      </c>
      <c r="I134" s="551" t="e">
        <f>IF($B134=#REF!,#REF!*#REF!+#REF!+#REF!+#REF!,0)</f>
        <v>#REF!</v>
      </c>
      <c r="J134" s="551" t="e">
        <f>IF($B134=#REF!,#REF!*#REF!+#REF!+#REF!+#REF!,0)</f>
        <v>#REF!</v>
      </c>
      <c r="K134" s="551" t="e">
        <f>IF($B134=#REF!,#REF!*#REF!+#REF!+#REF!,0)</f>
        <v>#REF!</v>
      </c>
      <c r="L134" s="551"/>
      <c r="M134" s="551" t="e">
        <f>IF($B134=#REF!,#REF!*#REF!+#REF!+#REF!,0)</f>
        <v>#REF!</v>
      </c>
      <c r="N134" s="551"/>
      <c r="O134" s="551"/>
      <c r="P134" s="551"/>
      <c r="Q134" s="590" t="e">
        <f t="shared" si="9"/>
        <v>#REF!</v>
      </c>
      <c r="T134" s="273"/>
      <c r="U134" s="274"/>
      <c r="V134" s="275"/>
    </row>
    <row r="135" spans="2:22" ht="15.2" thickBot="1" x14ac:dyDescent="0.35">
      <c r="B135" s="509">
        <v>9</v>
      </c>
      <c r="C135" s="555" t="e">
        <f>IF($B135=#REF!,H120*#REF!+H120+J120,0)</f>
        <v>#REF!</v>
      </c>
      <c r="D135" s="556" t="e">
        <f>IF($B135=#REF!,#REF!*#REF!+#REF!+#REF!,0)</f>
        <v>#REF!</v>
      </c>
      <c r="E135" s="556" t="e">
        <f>IF($B135=#REF!,#REF!*#REF!+#REF!+#REF!,0)</f>
        <v>#REF!</v>
      </c>
      <c r="F135" s="556" t="e">
        <f>IF($B135=#REF!,#REF!*#REF!+#REF!+#REF!,0)</f>
        <v>#REF!</v>
      </c>
      <c r="G135" s="556" t="e">
        <f>IF($B135=#REF!,#REF!*#REF!+#REF!+#REF!+#REF!+#REF!,0)</f>
        <v>#REF!</v>
      </c>
      <c r="H135" s="556" t="e">
        <f>IF($B135=#REF!,#REF!*#REF!+#REF!+#REF!,0)</f>
        <v>#REF!</v>
      </c>
      <c r="I135" s="556" t="e">
        <f>IF($B135=#REF!,#REF!*#REF!+#REF!+#REF!+#REF!,0)</f>
        <v>#REF!</v>
      </c>
      <c r="J135" s="556" t="e">
        <f>IF($B135=#REF!,#REF!*#REF!+#REF!+#REF!+#REF!,0)</f>
        <v>#REF!</v>
      </c>
      <c r="K135" s="556" t="e">
        <f>IF($B135=#REF!,#REF!*#REF!+#REF!+#REF!,0)</f>
        <v>#REF!</v>
      </c>
      <c r="L135" s="556"/>
      <c r="M135" s="556" t="e">
        <f>IF($B135=#REF!,#REF!*#REF!+#REF!+#REF!,0)</f>
        <v>#REF!</v>
      </c>
      <c r="N135" s="556"/>
      <c r="O135" s="556"/>
      <c r="P135" s="556"/>
      <c r="Q135" s="592" t="e">
        <f t="shared" ref="Q135" si="10">SUM(C135:P135)</f>
        <v>#REF!</v>
      </c>
      <c r="T135" s="273"/>
      <c r="U135" s="274"/>
      <c r="V135" s="275"/>
    </row>
    <row r="136" spans="2:22" ht="15.2" thickBot="1" x14ac:dyDescent="0.35">
      <c r="Q136" s="593" t="e">
        <f>SUM(Q127:Q135)</f>
        <v>#REF!</v>
      </c>
      <c r="T136" s="273"/>
      <c r="U136" s="274"/>
      <c r="V136" s="275"/>
    </row>
    <row r="137" spans="2:22" ht="14.55" x14ac:dyDescent="0.3">
      <c r="T137" s="273"/>
      <c r="U137" s="274"/>
      <c r="V137" s="275"/>
    </row>
    <row r="138" spans="2:22" ht="14.55" x14ac:dyDescent="0.3">
      <c r="T138" s="273"/>
      <c r="U138" s="274"/>
      <c r="V138" s="275"/>
    </row>
    <row r="139" spans="2:22" ht="14.55" x14ac:dyDescent="0.3">
      <c r="T139" s="273"/>
      <c r="U139" s="274"/>
      <c r="V139" s="275"/>
    </row>
    <row r="140" spans="2:22" ht="14.55" x14ac:dyDescent="0.3">
      <c r="T140" s="273"/>
      <c r="U140" s="274"/>
      <c r="V140" s="275"/>
    </row>
    <row r="141" spans="2:22" ht="14.55" x14ac:dyDescent="0.3">
      <c r="T141" s="273"/>
      <c r="U141" s="274"/>
      <c r="V141" s="275"/>
    </row>
    <row r="142" spans="2:22" ht="14.55" x14ac:dyDescent="0.3">
      <c r="T142" s="273"/>
      <c r="U142" s="274"/>
      <c r="V142" s="275"/>
    </row>
    <row r="143" spans="2:22" ht="14.55" x14ac:dyDescent="0.3">
      <c r="T143" s="273"/>
      <c r="U143" s="274"/>
      <c r="V143" s="275"/>
    </row>
    <row r="144" spans="2:22" ht="14.55" x14ac:dyDescent="0.3">
      <c r="T144" s="273"/>
      <c r="U144" s="274"/>
      <c r="V144" s="275"/>
    </row>
    <row r="145" spans="20:22" ht="14.55" x14ac:dyDescent="0.3">
      <c r="T145" s="273"/>
      <c r="U145" s="274"/>
      <c r="V145" s="275"/>
    </row>
    <row r="146" spans="20:22" ht="14.55" x14ac:dyDescent="0.3">
      <c r="T146" s="273"/>
      <c r="U146" s="274"/>
      <c r="V146" s="275"/>
    </row>
    <row r="147" spans="20:22" ht="14.55" x14ac:dyDescent="0.3">
      <c r="T147" s="273"/>
      <c r="U147" s="274"/>
      <c r="V147" s="275"/>
    </row>
    <row r="148" spans="20:22" ht="14.55" x14ac:dyDescent="0.3">
      <c r="T148" s="273"/>
      <c r="U148" s="274"/>
      <c r="V148" s="275"/>
    </row>
    <row r="149" spans="20:22" ht="14.55" x14ac:dyDescent="0.3">
      <c r="T149" s="273"/>
      <c r="U149" s="274"/>
      <c r="V149" s="275"/>
    </row>
    <row r="150" spans="20:22" ht="14.55" x14ac:dyDescent="0.3">
      <c r="T150" s="273"/>
      <c r="U150" s="274"/>
      <c r="V150" s="275"/>
    </row>
    <row r="151" spans="20:22" ht="14.55" x14ac:dyDescent="0.3">
      <c r="T151" s="273"/>
      <c r="U151" s="274"/>
      <c r="V151" s="275"/>
    </row>
    <row r="152" spans="20:22" ht="14.55" x14ac:dyDescent="0.3">
      <c r="T152" s="273"/>
      <c r="U152" s="274"/>
      <c r="V152" s="275"/>
    </row>
    <row r="153" spans="20:22" ht="14.55" x14ac:dyDescent="0.3">
      <c r="T153" s="273"/>
      <c r="U153" s="274"/>
      <c r="V153" s="275"/>
    </row>
    <row r="154" spans="20:22" ht="14.55" x14ac:dyDescent="0.3">
      <c r="T154" s="273"/>
      <c r="U154" s="274"/>
      <c r="V154" s="275"/>
    </row>
    <row r="155" spans="20:22" ht="14.55" x14ac:dyDescent="0.3">
      <c r="T155" s="273"/>
      <c r="U155" s="274"/>
      <c r="V155" s="275"/>
    </row>
    <row r="156" spans="20:22" ht="14.55" x14ac:dyDescent="0.3">
      <c r="T156" s="273"/>
      <c r="U156" s="274"/>
      <c r="V156" s="275"/>
    </row>
    <row r="157" spans="20:22" ht="14.55" x14ac:dyDescent="0.3">
      <c r="T157" s="273"/>
      <c r="U157" s="274"/>
      <c r="V157" s="275"/>
    </row>
    <row r="158" spans="20:22" ht="14.55" x14ac:dyDescent="0.3">
      <c r="T158" s="273"/>
      <c r="U158" s="274"/>
      <c r="V158" s="275"/>
    </row>
    <row r="159" spans="20:22" ht="14.55" x14ac:dyDescent="0.3">
      <c r="T159" s="273"/>
      <c r="U159" s="274"/>
      <c r="V159" s="275"/>
    </row>
    <row r="160" spans="20:22" ht="14.55" x14ac:dyDescent="0.3">
      <c r="T160" s="273"/>
      <c r="U160" s="274"/>
      <c r="V160" s="275"/>
    </row>
    <row r="161" spans="20:22" ht="14.55" x14ac:dyDescent="0.3">
      <c r="T161" s="273"/>
      <c r="U161" s="274"/>
      <c r="V161" s="275"/>
    </row>
    <row r="162" spans="20:22" ht="14.55" x14ac:dyDescent="0.3">
      <c r="T162" s="273"/>
      <c r="U162" s="274"/>
      <c r="V162" s="275"/>
    </row>
    <row r="163" spans="20:22" ht="14.55" x14ac:dyDescent="0.3">
      <c r="T163" s="273"/>
      <c r="U163" s="274"/>
      <c r="V163" s="275"/>
    </row>
    <row r="164" spans="20:22" ht="14.55" x14ac:dyDescent="0.3">
      <c r="T164" s="273"/>
      <c r="U164" s="274"/>
      <c r="V164" s="275"/>
    </row>
    <row r="165" spans="20:22" ht="14.55" x14ac:dyDescent="0.3">
      <c r="T165" s="273"/>
      <c r="U165" s="274"/>
      <c r="V165" s="275"/>
    </row>
    <row r="166" spans="20:22" ht="14.55" x14ac:dyDescent="0.3">
      <c r="T166" s="273"/>
      <c r="U166" s="274"/>
      <c r="V166" s="275"/>
    </row>
    <row r="167" spans="20:22" ht="14.55" x14ac:dyDescent="0.3">
      <c r="T167" s="273"/>
      <c r="U167" s="274"/>
      <c r="V167" s="275"/>
    </row>
    <row r="168" spans="20:22" ht="14.55" x14ac:dyDescent="0.3">
      <c r="T168" s="273"/>
      <c r="U168" s="274"/>
      <c r="V168" s="275"/>
    </row>
    <row r="169" spans="20:22" ht="14.55" x14ac:dyDescent="0.3">
      <c r="T169" s="273"/>
      <c r="U169" s="274"/>
      <c r="V169" s="275"/>
    </row>
    <row r="170" spans="20:22" ht="14.55" x14ac:dyDescent="0.3">
      <c r="T170" s="273"/>
      <c r="U170" s="274"/>
      <c r="V170" s="275"/>
    </row>
    <row r="171" spans="20:22" ht="14.55" x14ac:dyDescent="0.3">
      <c r="T171" s="273"/>
      <c r="U171" s="274"/>
      <c r="V171" s="275"/>
    </row>
    <row r="172" spans="20:22" ht="14.55" x14ac:dyDescent="0.3">
      <c r="T172" s="273"/>
      <c r="U172" s="274"/>
      <c r="V172" s="275"/>
    </row>
    <row r="173" spans="20:22" ht="14.55" x14ac:dyDescent="0.3">
      <c r="T173" s="273"/>
      <c r="U173" s="274"/>
      <c r="V173" s="275"/>
    </row>
    <row r="174" spans="20:22" ht="14.55" x14ac:dyDescent="0.3">
      <c r="T174" s="273"/>
      <c r="U174" s="274"/>
      <c r="V174" s="275"/>
    </row>
    <row r="175" spans="20:22" ht="14.55" x14ac:dyDescent="0.3">
      <c r="T175" s="273"/>
      <c r="U175" s="274"/>
      <c r="V175" s="275"/>
    </row>
    <row r="176" spans="20:22" ht="14.55" x14ac:dyDescent="0.3">
      <c r="T176" s="273"/>
      <c r="U176" s="274"/>
      <c r="V176" s="275"/>
    </row>
    <row r="177" spans="20:22" ht="14.55" x14ac:dyDescent="0.3">
      <c r="T177" s="273"/>
      <c r="U177" s="274"/>
      <c r="V177" s="275"/>
    </row>
    <row r="178" spans="20:22" ht="14.55" x14ac:dyDescent="0.3">
      <c r="T178" s="273"/>
      <c r="U178" s="274"/>
      <c r="V178" s="275"/>
    </row>
    <row r="179" spans="20:22" ht="14.55" x14ac:dyDescent="0.3">
      <c r="T179" s="273"/>
      <c r="U179" s="274"/>
      <c r="V179" s="275"/>
    </row>
    <row r="180" spans="20:22" ht="14.55" x14ac:dyDescent="0.3">
      <c r="T180" s="273"/>
      <c r="U180" s="274"/>
      <c r="V180" s="275"/>
    </row>
    <row r="181" spans="20:22" ht="14.55" x14ac:dyDescent="0.3">
      <c r="T181" s="273"/>
      <c r="U181" s="274"/>
      <c r="V181" s="275"/>
    </row>
    <row r="182" spans="20:22" ht="14.55" x14ac:dyDescent="0.3">
      <c r="T182" s="273"/>
      <c r="U182" s="274"/>
      <c r="V182" s="275"/>
    </row>
    <row r="183" spans="20:22" ht="14.55" x14ac:dyDescent="0.3">
      <c r="T183" s="273"/>
      <c r="U183" s="274"/>
      <c r="V183" s="275"/>
    </row>
    <row r="184" spans="20:22" ht="14.55" x14ac:dyDescent="0.3">
      <c r="T184" s="273"/>
      <c r="U184" s="274"/>
      <c r="V184" s="275"/>
    </row>
    <row r="185" spans="20:22" ht="14.55" x14ac:dyDescent="0.3">
      <c r="T185" s="273"/>
      <c r="U185" s="274"/>
      <c r="V185" s="275"/>
    </row>
    <row r="186" spans="20:22" ht="14.55" x14ac:dyDescent="0.3">
      <c r="T186" s="273"/>
      <c r="U186" s="274"/>
      <c r="V186" s="275"/>
    </row>
    <row r="187" spans="20:22" ht="14.55" x14ac:dyDescent="0.3">
      <c r="T187" s="273"/>
      <c r="U187" s="274"/>
      <c r="V187" s="275"/>
    </row>
    <row r="188" spans="20:22" ht="14.55" x14ac:dyDescent="0.3">
      <c r="T188" s="273"/>
      <c r="U188" s="274"/>
      <c r="V188" s="275"/>
    </row>
    <row r="189" spans="20:22" ht="14.55" x14ac:dyDescent="0.3">
      <c r="T189" s="273"/>
      <c r="U189" s="274"/>
      <c r="V189" s="275"/>
    </row>
    <row r="190" spans="20:22" ht="14.55" x14ac:dyDescent="0.3">
      <c r="T190" s="273"/>
      <c r="U190" s="274"/>
      <c r="V190" s="560"/>
    </row>
    <row r="191" spans="20:22" ht="14.55" x14ac:dyDescent="0.3">
      <c r="T191" s="273"/>
      <c r="U191" s="274"/>
      <c r="V191" s="275"/>
    </row>
    <row r="192" spans="20:22" ht="14.55" x14ac:dyDescent="0.3">
      <c r="T192" s="273"/>
      <c r="U192" s="274"/>
      <c r="V192" s="275"/>
    </row>
    <row r="193" spans="20:22" ht="14.55" x14ac:dyDescent="0.3">
      <c r="T193" s="273"/>
      <c r="U193" s="274"/>
      <c r="V193" s="275"/>
    </row>
    <row r="194" spans="20:22" ht="14.55" x14ac:dyDescent="0.3">
      <c r="T194" s="273"/>
      <c r="U194" s="274"/>
      <c r="V194" s="275"/>
    </row>
    <row r="195" spans="20:22" ht="14.55" x14ac:dyDescent="0.3">
      <c r="T195" s="273"/>
      <c r="U195" s="274"/>
      <c r="V195" s="275"/>
    </row>
    <row r="196" spans="20:22" ht="14.55" x14ac:dyDescent="0.3">
      <c r="T196" s="273"/>
      <c r="U196" s="274"/>
      <c r="V196" s="275"/>
    </row>
    <row r="197" spans="20:22" ht="14.55" x14ac:dyDescent="0.3">
      <c r="T197" s="273"/>
      <c r="U197" s="274"/>
      <c r="V197" s="275"/>
    </row>
    <row r="198" spans="20:22" ht="14.55" x14ac:dyDescent="0.3">
      <c r="T198" s="273"/>
      <c r="U198" s="274"/>
      <c r="V198" s="275"/>
    </row>
    <row r="199" spans="20:22" ht="14.55" x14ac:dyDescent="0.3">
      <c r="T199" s="273"/>
      <c r="U199" s="274"/>
      <c r="V199" s="275"/>
    </row>
    <row r="200" spans="20:22" ht="14.55" x14ac:dyDescent="0.3">
      <c r="T200" s="273"/>
      <c r="U200" s="274"/>
      <c r="V200" s="275"/>
    </row>
    <row r="201" spans="20:22" ht="14.55" x14ac:dyDescent="0.3">
      <c r="T201" s="273"/>
      <c r="U201" s="274"/>
      <c r="V201" s="275"/>
    </row>
    <row r="202" spans="20:22" ht="14.55" x14ac:dyDescent="0.3">
      <c r="T202" s="273"/>
      <c r="U202" s="274"/>
      <c r="V202" s="275"/>
    </row>
    <row r="203" spans="20:22" ht="14.55" x14ac:dyDescent="0.3">
      <c r="T203" s="273"/>
      <c r="U203" s="274"/>
      <c r="V203" s="275"/>
    </row>
    <row r="204" spans="20:22" ht="14.55" x14ac:dyDescent="0.3">
      <c r="T204" s="273"/>
      <c r="U204" s="274"/>
      <c r="V204" s="275"/>
    </row>
    <row r="205" spans="20:22" ht="14.55" x14ac:dyDescent="0.3">
      <c r="T205" s="273"/>
      <c r="U205" s="274"/>
      <c r="V205" s="275"/>
    </row>
    <row r="206" spans="20:22" ht="14.55" x14ac:dyDescent="0.3">
      <c r="T206" s="273"/>
      <c r="U206" s="274"/>
      <c r="V206" s="275"/>
    </row>
    <row r="207" spans="20:22" ht="14.55" x14ac:dyDescent="0.3">
      <c r="T207" s="273"/>
      <c r="U207" s="274"/>
      <c r="V207" s="275"/>
    </row>
    <row r="208" spans="20:22" ht="14.55" x14ac:dyDescent="0.3">
      <c r="T208" s="273"/>
      <c r="U208" s="274"/>
      <c r="V208" s="275"/>
    </row>
    <row r="209" spans="20:22" ht="14.55" x14ac:dyDescent="0.3">
      <c r="T209" s="273"/>
      <c r="U209" s="274"/>
      <c r="V209" s="275"/>
    </row>
    <row r="210" spans="20:22" ht="14.55" x14ac:dyDescent="0.3">
      <c r="T210" s="273"/>
      <c r="U210" s="274"/>
      <c r="V210" s="275"/>
    </row>
    <row r="211" spans="20:22" ht="14.55" x14ac:dyDescent="0.3">
      <c r="T211" s="273"/>
      <c r="U211" s="274"/>
      <c r="V211" s="275"/>
    </row>
    <row r="212" spans="20:22" ht="14.55" x14ac:dyDescent="0.3">
      <c r="T212" s="273"/>
      <c r="U212" s="274"/>
      <c r="V212" s="275"/>
    </row>
    <row r="213" spans="20:22" ht="14.55" x14ac:dyDescent="0.3">
      <c r="T213" s="273"/>
      <c r="U213" s="274"/>
      <c r="V213" s="275"/>
    </row>
    <row r="214" spans="20:22" ht="14.55" x14ac:dyDescent="0.3">
      <c r="T214" s="273"/>
      <c r="U214" s="274"/>
      <c r="V214" s="275"/>
    </row>
    <row r="215" spans="20:22" ht="14.55" x14ac:dyDescent="0.3">
      <c r="T215" s="273"/>
      <c r="U215" s="274"/>
      <c r="V215" s="275"/>
    </row>
    <row r="216" spans="20:22" ht="14.55" x14ac:dyDescent="0.3">
      <c r="T216" s="273"/>
      <c r="U216" s="274"/>
      <c r="V216" s="275"/>
    </row>
    <row r="217" spans="20:22" ht="14.55" x14ac:dyDescent="0.3">
      <c r="T217" s="273"/>
      <c r="U217" s="274"/>
      <c r="V217" s="275"/>
    </row>
    <row r="218" spans="20:22" ht="14.55" x14ac:dyDescent="0.3">
      <c r="T218" s="273"/>
      <c r="U218" s="274"/>
      <c r="V218" s="275"/>
    </row>
    <row r="219" spans="20:22" ht="14.55" x14ac:dyDescent="0.3">
      <c r="T219" s="273"/>
      <c r="U219" s="274"/>
      <c r="V219" s="275"/>
    </row>
    <row r="220" spans="20:22" ht="14.55" x14ac:dyDescent="0.3">
      <c r="T220" s="273"/>
      <c r="U220" s="274"/>
      <c r="V220" s="275"/>
    </row>
    <row r="221" spans="20:22" ht="14.55" x14ac:dyDescent="0.3">
      <c r="T221" s="273"/>
      <c r="U221" s="274"/>
      <c r="V221" s="275"/>
    </row>
    <row r="222" spans="20:22" ht="14.55" x14ac:dyDescent="0.3">
      <c r="T222" s="273"/>
      <c r="U222" s="274"/>
      <c r="V222" s="275"/>
    </row>
    <row r="223" spans="20:22" ht="14.55" x14ac:dyDescent="0.3">
      <c r="T223" s="273"/>
      <c r="U223" s="274"/>
      <c r="V223" s="275"/>
    </row>
    <row r="224" spans="20:22" ht="14.55" x14ac:dyDescent="0.3">
      <c r="T224" s="273"/>
      <c r="U224" s="274"/>
      <c r="V224" s="275"/>
    </row>
    <row r="225" spans="20:22" ht="14.55" x14ac:dyDescent="0.3">
      <c r="T225" s="273"/>
      <c r="U225" s="274"/>
      <c r="V225" s="275"/>
    </row>
    <row r="226" spans="20:22" ht="14.55" x14ac:dyDescent="0.3">
      <c r="T226" s="273"/>
      <c r="U226" s="274"/>
      <c r="V226" s="275"/>
    </row>
    <row r="227" spans="20:22" ht="14.55" x14ac:dyDescent="0.3">
      <c r="T227" s="273"/>
      <c r="U227" s="274"/>
      <c r="V227" s="275"/>
    </row>
    <row r="228" spans="20:22" ht="14.55" x14ac:dyDescent="0.3">
      <c r="T228" s="273"/>
      <c r="U228" s="274"/>
      <c r="V228" s="275"/>
    </row>
    <row r="229" spans="20:22" ht="14.55" x14ac:dyDescent="0.3">
      <c r="T229" s="273"/>
      <c r="U229" s="274"/>
      <c r="V229" s="275"/>
    </row>
    <row r="230" spans="20:22" ht="14.55" x14ac:dyDescent="0.3">
      <c r="T230" s="273"/>
      <c r="U230" s="274"/>
      <c r="V230" s="275"/>
    </row>
    <row r="231" spans="20:22" ht="14.55" x14ac:dyDescent="0.3">
      <c r="T231" s="273"/>
      <c r="U231" s="274"/>
      <c r="V231" s="275"/>
    </row>
    <row r="232" spans="20:22" ht="14.55" x14ac:dyDescent="0.3">
      <c r="T232" s="273"/>
      <c r="U232" s="274"/>
      <c r="V232" s="275"/>
    </row>
    <row r="233" spans="20:22" ht="14.55" x14ac:dyDescent="0.3">
      <c r="T233" s="273"/>
      <c r="U233" s="274"/>
      <c r="V233" s="275"/>
    </row>
    <row r="234" spans="20:22" ht="14.55" x14ac:dyDescent="0.3">
      <c r="T234" s="273"/>
      <c r="U234" s="274"/>
      <c r="V234" s="275"/>
    </row>
    <row r="235" spans="20:22" ht="14.55" x14ac:dyDescent="0.3">
      <c r="T235" s="273"/>
      <c r="U235" s="274"/>
      <c r="V235" s="275"/>
    </row>
    <row r="236" spans="20:22" ht="14.55" x14ac:dyDescent="0.3">
      <c r="T236" s="273"/>
      <c r="U236" s="274"/>
      <c r="V236" s="275"/>
    </row>
    <row r="237" spans="20:22" ht="14.55" x14ac:dyDescent="0.3">
      <c r="T237" s="273"/>
      <c r="U237" s="274"/>
      <c r="V237" s="275"/>
    </row>
    <row r="238" spans="20:22" ht="14.55" x14ac:dyDescent="0.3">
      <c r="T238" s="273"/>
      <c r="U238" s="274"/>
      <c r="V238" s="275"/>
    </row>
    <row r="239" spans="20:22" ht="14.55" x14ac:dyDescent="0.3">
      <c r="T239" s="273"/>
      <c r="U239" s="274"/>
      <c r="V239" s="275"/>
    </row>
    <row r="240" spans="20:22" ht="14.55" x14ac:dyDescent="0.3">
      <c r="T240" s="273"/>
      <c r="U240" s="274"/>
      <c r="V240" s="275"/>
    </row>
    <row r="241" spans="20:22" ht="14.55" x14ac:dyDescent="0.3">
      <c r="T241" s="273"/>
      <c r="U241" s="274"/>
      <c r="V241" s="275"/>
    </row>
    <row r="242" spans="20:22" ht="14.55" x14ac:dyDescent="0.3">
      <c r="T242" s="273"/>
      <c r="U242" s="274"/>
      <c r="V242" s="275"/>
    </row>
    <row r="243" spans="20:22" ht="14.55" x14ac:dyDescent="0.3">
      <c r="T243" s="273"/>
      <c r="U243" s="274"/>
      <c r="V243" s="275"/>
    </row>
    <row r="244" spans="20:22" ht="14.55" x14ac:dyDescent="0.3">
      <c r="T244" s="273"/>
      <c r="U244" s="274"/>
      <c r="V244" s="275"/>
    </row>
    <row r="245" spans="20:22" ht="14.55" x14ac:dyDescent="0.3">
      <c r="T245" s="273"/>
      <c r="U245" s="274"/>
      <c r="V245" s="275"/>
    </row>
    <row r="246" spans="20:22" ht="14.55" x14ac:dyDescent="0.3">
      <c r="T246" s="273"/>
      <c r="U246" s="274"/>
      <c r="V246" s="275"/>
    </row>
    <row r="247" spans="20:22" ht="14.55" x14ac:dyDescent="0.3">
      <c r="T247" s="273"/>
      <c r="U247" s="274"/>
      <c r="V247" s="275"/>
    </row>
    <row r="248" spans="20:22" ht="14.55" x14ac:dyDescent="0.3">
      <c r="T248" s="273"/>
      <c r="U248" s="274"/>
      <c r="V248" s="275"/>
    </row>
    <row r="249" spans="20:22" ht="14.55" x14ac:dyDescent="0.3">
      <c r="T249" s="273"/>
      <c r="U249" s="274"/>
      <c r="V249" s="275"/>
    </row>
    <row r="250" spans="20:22" ht="14.55" x14ac:dyDescent="0.3">
      <c r="T250" s="273"/>
      <c r="U250" s="274"/>
      <c r="V250" s="275"/>
    </row>
    <row r="251" spans="20:22" ht="14.55" x14ac:dyDescent="0.3">
      <c r="T251" s="273"/>
      <c r="U251" s="274"/>
      <c r="V251" s="275"/>
    </row>
    <row r="252" spans="20:22" ht="14.55" x14ac:dyDescent="0.3">
      <c r="T252" s="273"/>
      <c r="U252" s="274"/>
      <c r="V252" s="275"/>
    </row>
    <row r="253" spans="20:22" ht="14.55" x14ac:dyDescent="0.3">
      <c r="T253" s="273"/>
      <c r="U253" s="274"/>
      <c r="V253" s="275"/>
    </row>
    <row r="254" spans="20:22" ht="14.55" x14ac:dyDescent="0.3">
      <c r="T254" s="273"/>
      <c r="U254" s="274"/>
      <c r="V254" s="275"/>
    </row>
    <row r="255" spans="20:22" ht="14.55" x14ac:dyDescent="0.3">
      <c r="T255" s="273"/>
      <c r="U255" s="274"/>
      <c r="V255" s="275"/>
    </row>
    <row r="256" spans="20:22" ht="14.55" x14ac:dyDescent="0.3">
      <c r="T256" s="273"/>
      <c r="U256" s="274"/>
      <c r="V256" s="275"/>
    </row>
    <row r="257" spans="20:22" ht="14.55" x14ac:dyDescent="0.3">
      <c r="T257" s="273"/>
      <c r="U257" s="274"/>
      <c r="V257" s="275"/>
    </row>
    <row r="258" spans="20:22" ht="14.55" x14ac:dyDescent="0.3">
      <c r="T258" s="273"/>
      <c r="U258" s="274"/>
      <c r="V258" s="275"/>
    </row>
    <row r="259" spans="20:22" ht="14.55" x14ac:dyDescent="0.3">
      <c r="T259" s="273"/>
      <c r="U259" s="274"/>
      <c r="V259" s="275"/>
    </row>
    <row r="260" spans="20:22" ht="14.55" x14ac:dyDescent="0.3">
      <c r="T260" s="273"/>
      <c r="U260" s="274"/>
      <c r="V260" s="275"/>
    </row>
    <row r="261" spans="20:22" ht="14.55" x14ac:dyDescent="0.3">
      <c r="T261" s="273"/>
      <c r="U261" s="274"/>
      <c r="V261" s="275"/>
    </row>
    <row r="262" spans="20:22" ht="14.55" x14ac:dyDescent="0.3">
      <c r="T262" s="273"/>
      <c r="U262" s="274"/>
      <c r="V262" s="275"/>
    </row>
    <row r="263" spans="20:22" ht="14.55" x14ac:dyDescent="0.3">
      <c r="T263" s="273"/>
      <c r="U263" s="274"/>
      <c r="V263" s="275"/>
    </row>
    <row r="264" spans="20:22" ht="14.55" x14ac:dyDescent="0.3">
      <c r="T264" s="273"/>
      <c r="U264" s="274"/>
      <c r="V264" s="275"/>
    </row>
    <row r="265" spans="20:22" ht="14.55" x14ac:dyDescent="0.3">
      <c r="T265" s="273"/>
      <c r="U265" s="274"/>
      <c r="V265" s="275"/>
    </row>
    <row r="266" spans="20:22" ht="14.55" x14ac:dyDescent="0.3">
      <c r="T266" s="273"/>
      <c r="U266" s="274"/>
      <c r="V266" s="275"/>
    </row>
    <row r="267" spans="20:22" ht="14.55" x14ac:dyDescent="0.3">
      <c r="T267" s="273"/>
      <c r="U267" s="274"/>
      <c r="V267" s="275"/>
    </row>
    <row r="268" spans="20:22" ht="14.55" x14ac:dyDescent="0.3">
      <c r="T268" s="273"/>
      <c r="U268" s="274"/>
      <c r="V268" s="275"/>
    </row>
    <row r="269" spans="20:22" ht="14.55" x14ac:dyDescent="0.3">
      <c r="T269" s="273"/>
      <c r="U269" s="274"/>
      <c r="V269" s="275"/>
    </row>
    <row r="270" spans="20:22" ht="14.55" x14ac:dyDescent="0.3">
      <c r="T270" s="273"/>
      <c r="U270" s="274"/>
      <c r="V270" s="275"/>
    </row>
    <row r="271" spans="20:22" ht="14.55" x14ac:dyDescent="0.3">
      <c r="T271" s="273"/>
      <c r="U271" s="274"/>
      <c r="V271" s="275"/>
    </row>
    <row r="272" spans="20:22" ht="14.55" x14ac:dyDescent="0.3">
      <c r="T272" s="273"/>
      <c r="U272" s="274"/>
      <c r="V272" s="275"/>
    </row>
    <row r="273" spans="3:22" ht="14.55" x14ac:dyDescent="0.3">
      <c r="T273" s="273"/>
      <c r="U273" s="274"/>
      <c r="V273" s="275"/>
    </row>
    <row r="274" spans="3:22" ht="14.55" x14ac:dyDescent="0.3">
      <c r="T274" s="273"/>
      <c r="U274" s="274"/>
      <c r="V274" s="275"/>
    </row>
    <row r="275" spans="3:22" ht="14.55" x14ac:dyDescent="0.3">
      <c r="T275" s="273"/>
      <c r="U275" s="274"/>
      <c r="V275" s="275"/>
    </row>
    <row r="276" spans="3:22" ht="14.55" x14ac:dyDescent="0.3">
      <c r="T276" s="273"/>
      <c r="U276" s="274"/>
      <c r="V276" s="275"/>
    </row>
    <row r="277" spans="3:22" ht="14.55" x14ac:dyDescent="0.3">
      <c r="T277" s="273"/>
      <c r="U277" s="274"/>
      <c r="V277" s="275"/>
    </row>
    <row r="278" spans="3:22" ht="14.55" x14ac:dyDescent="0.3">
      <c r="T278" s="273"/>
      <c r="U278" s="274"/>
      <c r="V278" s="275"/>
    </row>
    <row r="279" spans="3:22" ht="14.55" x14ac:dyDescent="0.3">
      <c r="T279" s="273"/>
      <c r="U279" s="274"/>
      <c r="V279" s="275"/>
    </row>
    <row r="280" spans="3:22" ht="14.55" x14ac:dyDescent="0.3">
      <c r="T280" s="273"/>
      <c r="U280" s="274"/>
      <c r="V280" s="275"/>
    </row>
    <row r="281" spans="3:22" ht="14.55" x14ac:dyDescent="0.3">
      <c r="T281" s="273"/>
      <c r="U281" s="274"/>
      <c r="V281" s="275"/>
    </row>
    <row r="282" spans="3:22" ht="14.55" x14ac:dyDescent="0.3">
      <c r="T282" s="273"/>
      <c r="U282" s="274"/>
      <c r="V282" s="275"/>
    </row>
    <row r="283" spans="3:22" ht="14.55" x14ac:dyDescent="0.3">
      <c r="T283" s="273"/>
      <c r="U283" s="274"/>
      <c r="V283" s="275"/>
    </row>
    <row r="284" spans="3:22" ht="14.55" x14ac:dyDescent="0.3">
      <c r="T284" s="273"/>
      <c r="U284" s="274"/>
      <c r="V284" s="275"/>
    </row>
    <row r="285" spans="3:22" ht="14.55" x14ac:dyDescent="0.3">
      <c r="T285" s="273"/>
      <c r="U285" s="274"/>
      <c r="V285" s="275"/>
    </row>
    <row r="286" spans="3:22" ht="14.55" x14ac:dyDescent="0.3">
      <c r="T286" s="273"/>
      <c r="U286" s="274"/>
      <c r="V286" s="275"/>
    </row>
    <row r="287" spans="3:22" ht="14.55" x14ac:dyDescent="0.3">
      <c r="C287" s="543" t="e">
        <f>'Berechnung - Tragswerksplanung'!C127</f>
        <v>#REF!</v>
      </c>
      <c r="D287" s="543" t="e">
        <f>'Berechnung - Tragswerksplanung'!D127</f>
        <v>#REF!</v>
      </c>
      <c r="E287" s="543" t="e">
        <f>'Berechnung - Tragswerksplanung'!E127</f>
        <v>#REF!</v>
      </c>
      <c r="F287" s="543" t="e">
        <f>'Berechnung - Tragswerksplanung'!F127</f>
        <v>#REF!</v>
      </c>
      <c r="G287" s="543" t="e">
        <f>'Berechnung - Tragswerksplanung'!G127</f>
        <v>#REF!</v>
      </c>
      <c r="H287" s="543" t="e">
        <f>'Berechnung - Tragswerksplanung'!H127</f>
        <v>#REF!</v>
      </c>
      <c r="I287" s="543" t="e">
        <f>'Berechnung - Tragswerksplanung'!I127</f>
        <v>#REF!</v>
      </c>
      <c r="J287" s="543" t="e">
        <f>'Berechnung - Tragswerksplanung'!J127</f>
        <v>#REF!</v>
      </c>
      <c r="K287" s="543" t="e">
        <f>'Berechnung - Tragswerksplanung'!K127</f>
        <v>#REF!</v>
      </c>
      <c r="L287" s="543">
        <f>'Berechnung - Tragswerksplanung'!L127</f>
        <v>0</v>
      </c>
      <c r="M287" s="543" t="e">
        <f>'Berechnung - Tragswerksplanung'!M127</f>
        <v>#REF!</v>
      </c>
      <c r="N287" s="543">
        <f>'Berechnung - Tragswerksplanung'!N127</f>
        <v>0</v>
      </c>
      <c r="O287" s="543">
        <f>'Berechnung - Tragswerksplanung'!O127</f>
        <v>0</v>
      </c>
      <c r="P287" s="543">
        <f>'Berechnung - Tragswerksplanung'!P127</f>
        <v>0</v>
      </c>
      <c r="T287" s="273"/>
      <c r="U287" s="274"/>
      <c r="V287" s="275"/>
    </row>
    <row r="288" spans="3:22" ht="14.55" x14ac:dyDescent="0.3">
      <c r="C288" s="543" t="e">
        <f>'Berechnung - Tragswerksplanung'!C128</f>
        <v>#REF!</v>
      </c>
      <c r="D288" s="543" t="e">
        <f>'Berechnung - Tragswerksplanung'!D128</f>
        <v>#REF!</v>
      </c>
      <c r="E288" s="543" t="e">
        <f>'Berechnung - Tragswerksplanung'!E128</f>
        <v>#REF!</v>
      </c>
      <c r="F288" s="543" t="e">
        <f>'Berechnung - Tragswerksplanung'!F128</f>
        <v>#REF!</v>
      </c>
      <c r="G288" s="543" t="e">
        <f>'Berechnung - Tragswerksplanung'!G128</f>
        <v>#REF!</v>
      </c>
      <c r="H288" s="543" t="e">
        <f>'Berechnung - Tragswerksplanung'!H128</f>
        <v>#REF!</v>
      </c>
      <c r="I288" s="543" t="e">
        <f>'Berechnung - Tragswerksplanung'!I128</f>
        <v>#REF!</v>
      </c>
      <c r="J288" s="543" t="e">
        <f>'Berechnung - Tragswerksplanung'!J128</f>
        <v>#REF!</v>
      </c>
      <c r="K288" s="543" t="e">
        <f>'Berechnung - Tragswerksplanung'!K128</f>
        <v>#REF!</v>
      </c>
      <c r="L288" s="543">
        <f>'Berechnung - Tragswerksplanung'!L128</f>
        <v>0</v>
      </c>
      <c r="M288" s="543" t="e">
        <f>'Berechnung - Tragswerksplanung'!M128</f>
        <v>#REF!</v>
      </c>
      <c r="N288" s="543">
        <f>'Berechnung - Tragswerksplanung'!N128</f>
        <v>0</v>
      </c>
      <c r="O288" s="543">
        <f>'Berechnung - Tragswerksplanung'!O128</f>
        <v>0</v>
      </c>
      <c r="P288" s="543">
        <f>'Berechnung - Tragswerksplanung'!P128</f>
        <v>0</v>
      </c>
      <c r="T288" s="273"/>
      <c r="U288" s="274"/>
      <c r="V288" s="275"/>
    </row>
    <row r="289" spans="3:22" ht="14.55" x14ac:dyDescent="0.3">
      <c r="C289" s="543" t="e">
        <f>'Berechnung - Tragswerksplanung'!C129</f>
        <v>#REF!</v>
      </c>
      <c r="D289" s="543" t="e">
        <f>'Berechnung - Tragswerksplanung'!D129</f>
        <v>#REF!</v>
      </c>
      <c r="E289" s="543" t="e">
        <f>'Berechnung - Tragswerksplanung'!E129</f>
        <v>#REF!</v>
      </c>
      <c r="F289" s="543" t="e">
        <f>'Berechnung - Tragswerksplanung'!F129</f>
        <v>#REF!</v>
      </c>
      <c r="G289" s="543" t="e">
        <f>'Berechnung - Tragswerksplanung'!G129</f>
        <v>#REF!</v>
      </c>
      <c r="H289" s="543" t="e">
        <f>'Berechnung - Tragswerksplanung'!H129</f>
        <v>#REF!</v>
      </c>
      <c r="I289" s="543" t="e">
        <f>'Berechnung - Tragswerksplanung'!I129</f>
        <v>#REF!</v>
      </c>
      <c r="J289" s="543" t="e">
        <f>'Berechnung - Tragswerksplanung'!J129</f>
        <v>#REF!</v>
      </c>
      <c r="K289" s="543" t="e">
        <f>'Berechnung - Tragswerksplanung'!K129</f>
        <v>#REF!</v>
      </c>
      <c r="L289" s="543">
        <f>'Berechnung - Tragswerksplanung'!L129</f>
        <v>0</v>
      </c>
      <c r="M289" s="543" t="e">
        <f>'Berechnung - Tragswerksplanung'!M129</f>
        <v>#REF!</v>
      </c>
      <c r="N289" s="543">
        <f>'Berechnung - Tragswerksplanung'!N129</f>
        <v>0</v>
      </c>
      <c r="O289" s="543">
        <f>'Berechnung - Tragswerksplanung'!O129</f>
        <v>0</v>
      </c>
      <c r="P289" s="543">
        <f>'Berechnung - Tragswerksplanung'!P129</f>
        <v>0</v>
      </c>
      <c r="T289" s="273"/>
      <c r="U289" s="274"/>
      <c r="V289" s="275"/>
    </row>
    <row r="290" spans="3:22" ht="14.55" x14ac:dyDescent="0.3">
      <c r="C290" s="543" t="e">
        <f>'Berechnung - Tragswerksplanung'!C130</f>
        <v>#REF!</v>
      </c>
      <c r="D290" s="543" t="e">
        <f>'Berechnung - Tragswerksplanung'!D130</f>
        <v>#REF!</v>
      </c>
      <c r="E290" s="543" t="e">
        <f>'Berechnung - Tragswerksplanung'!E130</f>
        <v>#REF!</v>
      </c>
      <c r="F290" s="543" t="e">
        <f>'Berechnung - Tragswerksplanung'!F130</f>
        <v>#REF!</v>
      </c>
      <c r="G290" s="543" t="e">
        <f>'Berechnung - Tragswerksplanung'!G130</f>
        <v>#REF!</v>
      </c>
      <c r="H290" s="543" t="e">
        <f>'Berechnung - Tragswerksplanung'!H130</f>
        <v>#REF!</v>
      </c>
      <c r="I290" s="543" t="e">
        <f>'Berechnung - Tragswerksplanung'!I130</f>
        <v>#REF!</v>
      </c>
      <c r="J290" s="543" t="e">
        <f>'Berechnung - Tragswerksplanung'!J130</f>
        <v>#REF!</v>
      </c>
      <c r="K290" s="543" t="e">
        <f>'Berechnung - Tragswerksplanung'!K130</f>
        <v>#REF!</v>
      </c>
      <c r="L290" s="543">
        <f>'Berechnung - Tragswerksplanung'!L130</f>
        <v>0</v>
      </c>
      <c r="M290" s="543" t="e">
        <f>'Berechnung - Tragswerksplanung'!M130</f>
        <v>#REF!</v>
      </c>
      <c r="N290" s="543">
        <f>'Berechnung - Tragswerksplanung'!N130</f>
        <v>0</v>
      </c>
      <c r="O290" s="543">
        <f>'Berechnung - Tragswerksplanung'!O130</f>
        <v>0</v>
      </c>
      <c r="P290" s="543">
        <f>'Berechnung - Tragswerksplanung'!P130</f>
        <v>0</v>
      </c>
      <c r="T290" s="273"/>
      <c r="U290" s="274"/>
      <c r="V290" s="275"/>
    </row>
    <row r="291" spans="3:22" ht="14.55" x14ac:dyDescent="0.3">
      <c r="C291" s="543" t="e">
        <f>'Berechnung - Tragswerksplanung'!C131</f>
        <v>#REF!</v>
      </c>
      <c r="D291" s="543" t="e">
        <f>'Berechnung - Tragswerksplanung'!D131</f>
        <v>#REF!</v>
      </c>
      <c r="E291" s="543" t="e">
        <f>'Berechnung - Tragswerksplanung'!E131</f>
        <v>#REF!</v>
      </c>
      <c r="F291" s="543" t="e">
        <f>'Berechnung - Tragswerksplanung'!F131</f>
        <v>#REF!</v>
      </c>
      <c r="G291" s="543" t="e">
        <f>'Berechnung - Tragswerksplanung'!G131</f>
        <v>#REF!</v>
      </c>
      <c r="H291" s="543" t="e">
        <f>'Berechnung - Tragswerksplanung'!H131</f>
        <v>#REF!</v>
      </c>
      <c r="I291" s="543" t="e">
        <f>'Berechnung - Tragswerksplanung'!I131</f>
        <v>#REF!</v>
      </c>
      <c r="J291" s="543" t="e">
        <f>'Berechnung - Tragswerksplanung'!J131</f>
        <v>#REF!</v>
      </c>
      <c r="K291" s="543" t="e">
        <f>'Berechnung - Tragswerksplanung'!K131</f>
        <v>#REF!</v>
      </c>
      <c r="L291" s="543">
        <f>'Berechnung - Tragswerksplanung'!L131</f>
        <v>0</v>
      </c>
      <c r="M291" s="543" t="e">
        <f>'Berechnung - Tragswerksplanung'!M131</f>
        <v>#REF!</v>
      </c>
      <c r="N291" s="543">
        <f>'Berechnung - Tragswerksplanung'!N131</f>
        <v>0</v>
      </c>
      <c r="O291" s="543">
        <f>'Berechnung - Tragswerksplanung'!O131</f>
        <v>0</v>
      </c>
      <c r="P291" s="543">
        <f>'Berechnung - Tragswerksplanung'!P131</f>
        <v>0</v>
      </c>
      <c r="T291" s="273"/>
      <c r="U291" s="274"/>
      <c r="V291" s="275"/>
    </row>
    <row r="292" spans="3:22" ht="14.55" x14ac:dyDescent="0.3">
      <c r="C292" s="543" t="e">
        <f>'Berechnung - Tragswerksplanung'!C132</f>
        <v>#REF!</v>
      </c>
      <c r="D292" s="543" t="e">
        <f>'Berechnung - Tragswerksplanung'!D132</f>
        <v>#REF!</v>
      </c>
      <c r="E292" s="543" t="e">
        <f>'Berechnung - Tragswerksplanung'!E132</f>
        <v>#REF!</v>
      </c>
      <c r="F292" s="543" t="e">
        <f>'Berechnung - Tragswerksplanung'!F132</f>
        <v>#REF!</v>
      </c>
      <c r="G292" s="543" t="e">
        <f>'Berechnung - Tragswerksplanung'!G132</f>
        <v>#REF!</v>
      </c>
      <c r="H292" s="543" t="e">
        <f>'Berechnung - Tragswerksplanung'!H132</f>
        <v>#REF!</v>
      </c>
      <c r="I292" s="543" t="e">
        <f>'Berechnung - Tragswerksplanung'!I132</f>
        <v>#REF!</v>
      </c>
      <c r="J292" s="543" t="e">
        <f>'Berechnung - Tragswerksplanung'!J132</f>
        <v>#REF!</v>
      </c>
      <c r="K292" s="543" t="e">
        <f>'Berechnung - Tragswerksplanung'!K132</f>
        <v>#REF!</v>
      </c>
      <c r="L292" s="543">
        <f>'Berechnung - Tragswerksplanung'!L132</f>
        <v>0</v>
      </c>
      <c r="M292" s="543" t="e">
        <f>'Berechnung - Tragswerksplanung'!M132</f>
        <v>#REF!</v>
      </c>
      <c r="N292" s="543">
        <f>'Berechnung - Tragswerksplanung'!N132</f>
        <v>0</v>
      </c>
      <c r="O292" s="543">
        <f>'Berechnung - Tragswerksplanung'!O132</f>
        <v>0</v>
      </c>
      <c r="P292" s="543">
        <f>'Berechnung - Tragswerksplanung'!P132</f>
        <v>0</v>
      </c>
      <c r="T292" s="273"/>
      <c r="U292" s="274"/>
      <c r="V292" s="275"/>
    </row>
    <row r="293" spans="3:22" ht="14.55" x14ac:dyDescent="0.3">
      <c r="C293" s="543" t="e">
        <f>'Berechnung - Tragswerksplanung'!C133</f>
        <v>#REF!</v>
      </c>
      <c r="D293" s="543" t="e">
        <f>'Berechnung - Tragswerksplanung'!D133</f>
        <v>#REF!</v>
      </c>
      <c r="E293" s="543" t="e">
        <f>'Berechnung - Tragswerksplanung'!E133</f>
        <v>#REF!</v>
      </c>
      <c r="F293" s="543" t="e">
        <f>'Berechnung - Tragswerksplanung'!F133</f>
        <v>#REF!</v>
      </c>
      <c r="G293" s="543" t="e">
        <f>'Berechnung - Tragswerksplanung'!G133</f>
        <v>#REF!</v>
      </c>
      <c r="H293" s="543" t="e">
        <f>'Berechnung - Tragswerksplanung'!H133</f>
        <v>#REF!</v>
      </c>
      <c r="I293" s="543" t="e">
        <f>'Berechnung - Tragswerksplanung'!I133</f>
        <v>#REF!</v>
      </c>
      <c r="J293" s="543" t="e">
        <f>'Berechnung - Tragswerksplanung'!J133</f>
        <v>#REF!</v>
      </c>
      <c r="K293" s="543" t="e">
        <f>'Berechnung - Tragswerksplanung'!K133</f>
        <v>#REF!</v>
      </c>
      <c r="L293" s="543">
        <f>'Berechnung - Tragswerksplanung'!L133</f>
        <v>0</v>
      </c>
      <c r="M293" s="543" t="e">
        <f>'Berechnung - Tragswerksplanung'!M133</f>
        <v>#REF!</v>
      </c>
      <c r="N293" s="543">
        <f>'Berechnung - Tragswerksplanung'!N133</f>
        <v>0</v>
      </c>
      <c r="O293" s="543">
        <f>'Berechnung - Tragswerksplanung'!O133</f>
        <v>0</v>
      </c>
      <c r="P293" s="543">
        <f>'Berechnung - Tragswerksplanung'!P133</f>
        <v>0</v>
      </c>
      <c r="T293" s="273"/>
      <c r="U293" s="274"/>
      <c r="V293" s="275"/>
    </row>
    <row r="294" spans="3:22" ht="14.55" x14ac:dyDescent="0.3">
      <c r="C294" s="543" t="e">
        <f>'Berechnung - Tragswerksplanung'!C134</f>
        <v>#REF!</v>
      </c>
      <c r="D294" s="543" t="e">
        <f>'Berechnung - Tragswerksplanung'!D134</f>
        <v>#REF!</v>
      </c>
      <c r="E294" s="543" t="e">
        <f>'Berechnung - Tragswerksplanung'!E134</f>
        <v>#REF!</v>
      </c>
      <c r="F294" s="543" t="e">
        <f>'Berechnung - Tragswerksplanung'!F134</f>
        <v>#REF!</v>
      </c>
      <c r="G294" s="543" t="e">
        <f>'Berechnung - Tragswerksplanung'!G134</f>
        <v>#REF!</v>
      </c>
      <c r="H294" s="543" t="e">
        <f>'Berechnung - Tragswerksplanung'!H134</f>
        <v>#REF!</v>
      </c>
      <c r="I294" s="543" t="e">
        <f>'Berechnung - Tragswerksplanung'!I134</f>
        <v>#REF!</v>
      </c>
      <c r="J294" s="543" t="e">
        <f>'Berechnung - Tragswerksplanung'!J134</f>
        <v>#REF!</v>
      </c>
      <c r="K294" s="543" t="e">
        <f>'Berechnung - Tragswerksplanung'!K134</f>
        <v>#REF!</v>
      </c>
      <c r="L294" s="543">
        <f>'Berechnung - Tragswerksplanung'!L134</f>
        <v>0</v>
      </c>
      <c r="M294" s="543" t="e">
        <f>'Berechnung - Tragswerksplanung'!M134</f>
        <v>#REF!</v>
      </c>
      <c r="N294" s="543">
        <f>'Berechnung - Tragswerksplanung'!N134</f>
        <v>0</v>
      </c>
      <c r="O294" s="543">
        <f>'Berechnung - Tragswerksplanung'!O134</f>
        <v>0</v>
      </c>
      <c r="P294" s="543">
        <f>'Berechnung - Tragswerksplanung'!P134</f>
        <v>0</v>
      </c>
      <c r="T294" s="273"/>
      <c r="U294" s="274"/>
      <c r="V294" s="275"/>
    </row>
    <row r="295" spans="3:22" ht="14.55" x14ac:dyDescent="0.3">
      <c r="T295" s="273"/>
      <c r="U295" s="274"/>
      <c r="V295" s="275"/>
    </row>
    <row r="296" spans="3:22" ht="14.55" x14ac:dyDescent="0.3">
      <c r="T296" s="273"/>
      <c r="U296" s="274"/>
      <c r="V296" s="275"/>
    </row>
    <row r="297" spans="3:22" ht="14.55" x14ac:dyDescent="0.3">
      <c r="T297" s="273"/>
      <c r="U297" s="274"/>
      <c r="V297" s="275"/>
    </row>
    <row r="298" spans="3:22" ht="14.55" x14ac:dyDescent="0.3">
      <c r="T298" s="273"/>
      <c r="U298" s="274"/>
      <c r="V298" s="275"/>
    </row>
    <row r="299" spans="3:22" ht="14.55" x14ac:dyDescent="0.3">
      <c r="T299" s="273"/>
      <c r="U299" s="274"/>
      <c r="V299" s="275"/>
    </row>
    <row r="300" spans="3:22" ht="14.55" x14ac:dyDescent="0.3">
      <c r="T300" s="273"/>
      <c r="U300" s="274"/>
      <c r="V300" s="275"/>
    </row>
    <row r="301" spans="3:22" ht="14.55" x14ac:dyDescent="0.3">
      <c r="T301" s="273"/>
      <c r="U301" s="274"/>
      <c r="V301" s="275"/>
    </row>
    <row r="302" spans="3:22" ht="14.55" x14ac:dyDescent="0.3">
      <c r="T302" s="273"/>
      <c r="U302" s="274"/>
      <c r="V302" s="275"/>
    </row>
    <row r="303" spans="3:22" ht="14.55" x14ac:dyDescent="0.3">
      <c r="T303" s="273"/>
      <c r="U303" s="274"/>
      <c r="V303" s="275"/>
    </row>
    <row r="304" spans="3:22" ht="14.55" x14ac:dyDescent="0.3">
      <c r="T304" s="273"/>
      <c r="U304" s="274"/>
      <c r="V304" s="275"/>
    </row>
    <row r="305" spans="20:22" ht="14.55" x14ac:dyDescent="0.3">
      <c r="T305" s="273"/>
      <c r="U305" s="274"/>
      <c r="V305" s="275"/>
    </row>
    <row r="306" spans="20:22" ht="14.55" x14ac:dyDescent="0.3">
      <c r="T306" s="273"/>
      <c r="U306" s="274"/>
      <c r="V306" s="275"/>
    </row>
    <row r="307" spans="20:22" ht="14.55" x14ac:dyDescent="0.3">
      <c r="T307" s="273"/>
      <c r="U307" s="274"/>
      <c r="V307" s="275"/>
    </row>
    <row r="308" spans="20:22" ht="14.55" x14ac:dyDescent="0.3">
      <c r="T308" s="273"/>
      <c r="U308" s="274"/>
      <c r="V308" s="275"/>
    </row>
    <row r="309" spans="20:22" ht="14.55" x14ac:dyDescent="0.3">
      <c r="T309" s="273"/>
      <c r="U309" s="274"/>
      <c r="V309" s="275"/>
    </row>
    <row r="310" spans="20:22" ht="14.55" x14ac:dyDescent="0.3">
      <c r="T310" s="273"/>
      <c r="U310" s="274"/>
      <c r="V310" s="275"/>
    </row>
    <row r="311" spans="20:22" ht="14.55" x14ac:dyDescent="0.3">
      <c r="T311" s="273"/>
      <c r="U311" s="274"/>
      <c r="V311" s="275"/>
    </row>
    <row r="312" spans="20:22" ht="14.55" x14ac:dyDescent="0.3">
      <c r="T312" s="273"/>
      <c r="U312" s="274"/>
      <c r="V312" s="275"/>
    </row>
    <row r="313" spans="20:22" ht="14.55" x14ac:dyDescent="0.3">
      <c r="T313" s="273"/>
      <c r="U313" s="274"/>
      <c r="V313" s="275"/>
    </row>
    <row r="314" spans="20:22" ht="14.55" x14ac:dyDescent="0.3">
      <c r="T314" s="273"/>
      <c r="U314" s="274"/>
      <c r="V314" s="275"/>
    </row>
    <row r="315" spans="20:22" ht="14.55" x14ac:dyDescent="0.3">
      <c r="T315" s="273"/>
      <c r="U315" s="274"/>
      <c r="V315" s="275"/>
    </row>
    <row r="316" spans="20:22" ht="14.55" x14ac:dyDescent="0.3">
      <c r="T316" s="273"/>
      <c r="U316" s="274"/>
      <c r="V316" s="275"/>
    </row>
    <row r="317" spans="20:22" ht="14.55" x14ac:dyDescent="0.3">
      <c r="T317" s="273"/>
      <c r="U317" s="274"/>
      <c r="V317" s="275"/>
    </row>
    <row r="318" spans="20:22" ht="14.55" x14ac:dyDescent="0.3">
      <c r="T318" s="273"/>
      <c r="U318" s="274"/>
      <c r="V318" s="275"/>
    </row>
    <row r="319" spans="20:22" ht="14.55" x14ac:dyDescent="0.3">
      <c r="T319" s="273"/>
      <c r="U319" s="274"/>
      <c r="V319" s="275"/>
    </row>
    <row r="320" spans="20:22" ht="14.55" x14ac:dyDescent="0.3">
      <c r="T320" s="273"/>
      <c r="U320" s="274"/>
      <c r="V320" s="275"/>
    </row>
    <row r="321" spans="20:22" ht="14.55" x14ac:dyDescent="0.3">
      <c r="T321" s="273"/>
      <c r="U321" s="274"/>
      <c r="V321" s="275"/>
    </row>
    <row r="322" spans="20:22" ht="14.55" x14ac:dyDescent="0.3">
      <c r="T322" s="273"/>
      <c r="U322" s="274"/>
      <c r="V322" s="275"/>
    </row>
    <row r="323" spans="20:22" ht="14.55" x14ac:dyDescent="0.3">
      <c r="T323" s="273"/>
      <c r="U323" s="274"/>
      <c r="V323" s="275"/>
    </row>
    <row r="324" spans="20:22" ht="14.55" x14ac:dyDescent="0.3">
      <c r="T324" s="273"/>
      <c r="U324" s="274"/>
      <c r="V324" s="275"/>
    </row>
    <row r="325" spans="20:22" ht="14.55" x14ac:dyDescent="0.3">
      <c r="T325" s="273"/>
      <c r="U325" s="274"/>
      <c r="V325" s="275"/>
    </row>
    <row r="326" spans="20:22" ht="14.55" x14ac:dyDescent="0.3">
      <c r="T326" s="273"/>
      <c r="U326" s="274"/>
      <c r="V326" s="275"/>
    </row>
    <row r="327" spans="20:22" ht="14.55" x14ac:dyDescent="0.3">
      <c r="T327" s="273"/>
      <c r="U327" s="274"/>
      <c r="V327" s="275"/>
    </row>
    <row r="328" spans="20:22" ht="14.55" x14ac:dyDescent="0.3">
      <c r="T328" s="273"/>
      <c r="U328" s="274"/>
      <c r="V328" s="275"/>
    </row>
    <row r="329" spans="20:22" ht="14.55" x14ac:dyDescent="0.3">
      <c r="T329" s="273"/>
      <c r="U329" s="274"/>
      <c r="V329" s="275"/>
    </row>
    <row r="330" spans="20:22" ht="14.55" x14ac:dyDescent="0.3">
      <c r="T330" s="273"/>
      <c r="U330" s="274"/>
      <c r="V330" s="275"/>
    </row>
    <row r="331" spans="20:22" ht="14.55" x14ac:dyDescent="0.3">
      <c r="T331" s="273"/>
      <c r="U331" s="274"/>
      <c r="V331" s="275"/>
    </row>
    <row r="332" spans="20:22" ht="14.55" x14ac:dyDescent="0.3">
      <c r="T332" s="273"/>
      <c r="U332" s="274"/>
      <c r="V332" s="275"/>
    </row>
    <row r="333" spans="20:22" ht="14.55" x14ac:dyDescent="0.3">
      <c r="T333" s="273"/>
      <c r="U333" s="274"/>
      <c r="V333" s="275"/>
    </row>
    <row r="334" spans="20:22" ht="14.55" x14ac:dyDescent="0.3">
      <c r="T334" s="273"/>
      <c r="U334" s="274"/>
      <c r="V334" s="275"/>
    </row>
    <row r="335" spans="20:22" ht="14.55" x14ac:dyDescent="0.3">
      <c r="T335" s="273"/>
      <c r="U335" s="274"/>
      <c r="V335" s="275"/>
    </row>
    <row r="336" spans="20:22" ht="14.55" x14ac:dyDescent="0.3">
      <c r="T336" s="273"/>
      <c r="U336" s="274"/>
      <c r="V336" s="275"/>
    </row>
    <row r="337" spans="20:22" ht="14.55" x14ac:dyDescent="0.3">
      <c r="T337" s="273"/>
      <c r="U337" s="274"/>
      <c r="V337" s="275"/>
    </row>
    <row r="338" spans="20:22" ht="14.55" x14ac:dyDescent="0.3">
      <c r="T338" s="273"/>
      <c r="U338" s="274"/>
      <c r="V338" s="275"/>
    </row>
    <row r="339" spans="20:22" ht="14.55" x14ac:dyDescent="0.3">
      <c r="T339" s="273"/>
      <c r="U339" s="274"/>
      <c r="V339" s="275"/>
    </row>
    <row r="340" spans="20:22" ht="14.55" x14ac:dyDescent="0.3">
      <c r="T340" s="273"/>
      <c r="U340" s="274"/>
      <c r="V340" s="275"/>
    </row>
    <row r="341" spans="20:22" ht="14.55" x14ac:dyDescent="0.3">
      <c r="T341" s="273"/>
      <c r="U341" s="274"/>
      <c r="V341" s="275"/>
    </row>
    <row r="342" spans="20:22" ht="14.55" x14ac:dyDescent="0.3">
      <c r="T342" s="273"/>
      <c r="U342" s="274"/>
      <c r="V342" s="275"/>
    </row>
    <row r="343" spans="20:22" ht="14.55" x14ac:dyDescent="0.3">
      <c r="T343" s="273"/>
      <c r="U343" s="274"/>
      <c r="V343" s="275"/>
    </row>
    <row r="344" spans="20:22" ht="14.55" x14ac:dyDescent="0.3">
      <c r="T344" s="273"/>
      <c r="U344" s="274"/>
      <c r="V344" s="275"/>
    </row>
    <row r="345" spans="20:22" ht="14.55" x14ac:dyDescent="0.3">
      <c r="T345" s="273"/>
      <c r="U345" s="274"/>
      <c r="V345" s="275"/>
    </row>
    <row r="346" spans="20:22" ht="14.55" x14ac:dyDescent="0.3">
      <c r="T346" s="273"/>
      <c r="U346" s="274"/>
      <c r="V346" s="275"/>
    </row>
    <row r="347" spans="20:22" ht="14.55" x14ac:dyDescent="0.3">
      <c r="T347" s="273"/>
      <c r="U347" s="274"/>
      <c r="V347" s="275"/>
    </row>
    <row r="348" spans="20:22" ht="14.55" x14ac:dyDescent="0.3">
      <c r="T348" s="273"/>
      <c r="U348" s="274"/>
      <c r="V348" s="275"/>
    </row>
    <row r="349" spans="20:22" ht="14.55" x14ac:dyDescent="0.3">
      <c r="T349" s="273"/>
      <c r="U349" s="274"/>
      <c r="V349" s="275"/>
    </row>
    <row r="350" spans="20:22" ht="14.55" x14ac:dyDescent="0.3">
      <c r="T350" s="273"/>
      <c r="U350" s="274"/>
      <c r="V350" s="275"/>
    </row>
    <row r="351" spans="20:22" ht="14.55" x14ac:dyDescent="0.3">
      <c r="T351" s="273"/>
      <c r="U351" s="274"/>
      <c r="V351" s="275"/>
    </row>
    <row r="352" spans="20:22" ht="14.55" x14ac:dyDescent="0.3">
      <c r="T352" s="273"/>
      <c r="U352" s="274"/>
      <c r="V352" s="275"/>
    </row>
    <row r="353" spans="20:22" ht="14.55" x14ac:dyDescent="0.3">
      <c r="T353" s="273"/>
      <c r="U353" s="274"/>
      <c r="V353" s="275"/>
    </row>
    <row r="354" spans="20:22" ht="14.55" x14ac:dyDescent="0.3">
      <c r="T354" s="273"/>
      <c r="U354" s="274"/>
      <c r="V354" s="275"/>
    </row>
    <row r="355" spans="20:22" ht="14.55" x14ac:dyDescent="0.3">
      <c r="T355" s="273"/>
      <c r="U355" s="274"/>
      <c r="V355" s="275"/>
    </row>
    <row r="356" spans="20:22" ht="14.55" x14ac:dyDescent="0.3">
      <c r="T356" s="273"/>
      <c r="U356" s="274"/>
      <c r="V356" s="275"/>
    </row>
    <row r="357" spans="20:22" ht="14.55" x14ac:dyDescent="0.3">
      <c r="T357" s="273"/>
      <c r="U357" s="274"/>
      <c r="V357" s="275"/>
    </row>
    <row r="358" spans="20:22" ht="14.55" x14ac:dyDescent="0.3">
      <c r="T358" s="273"/>
      <c r="U358" s="274"/>
      <c r="V358" s="275"/>
    </row>
    <row r="359" spans="20:22" ht="14.55" x14ac:dyDescent="0.3">
      <c r="T359" s="273"/>
      <c r="U359" s="274"/>
      <c r="V359" s="275"/>
    </row>
    <row r="360" spans="20:22" ht="14.55" x14ac:dyDescent="0.3">
      <c r="T360" s="273"/>
      <c r="U360" s="274"/>
      <c r="V360" s="275"/>
    </row>
    <row r="361" spans="20:22" ht="14.55" x14ac:dyDescent="0.3">
      <c r="T361" s="273"/>
      <c r="U361" s="274"/>
      <c r="V361" s="275"/>
    </row>
    <row r="362" spans="20:22" ht="14.55" x14ac:dyDescent="0.3">
      <c r="T362" s="273"/>
      <c r="U362" s="274"/>
      <c r="V362" s="275"/>
    </row>
    <row r="363" spans="20:22" ht="14.55" x14ac:dyDescent="0.3">
      <c r="T363" s="273"/>
      <c r="U363" s="274"/>
      <c r="V363" s="275"/>
    </row>
    <row r="364" spans="20:22" ht="14.55" x14ac:dyDescent="0.3">
      <c r="T364" s="273"/>
      <c r="U364" s="274"/>
      <c r="V364" s="275"/>
    </row>
    <row r="365" spans="20:22" ht="14.55" x14ac:dyDescent="0.3">
      <c r="T365" s="273"/>
      <c r="U365" s="274"/>
      <c r="V365" s="275"/>
    </row>
    <row r="366" spans="20:22" ht="14.55" x14ac:dyDescent="0.3">
      <c r="T366" s="273"/>
      <c r="U366" s="274"/>
      <c r="V366" s="275"/>
    </row>
    <row r="367" spans="20:22" ht="14.55" x14ac:dyDescent="0.3">
      <c r="T367" s="273"/>
      <c r="U367" s="274"/>
      <c r="V367" s="275"/>
    </row>
    <row r="368" spans="20:22" ht="14.55" x14ac:dyDescent="0.3">
      <c r="T368" s="273"/>
      <c r="U368" s="274"/>
      <c r="V368" s="275"/>
    </row>
    <row r="369" spans="20:22" ht="14.55" x14ac:dyDescent="0.3">
      <c r="T369" s="273"/>
      <c r="U369" s="274"/>
      <c r="V369" s="275"/>
    </row>
    <row r="370" spans="20:22" ht="14.55" x14ac:dyDescent="0.3">
      <c r="T370" s="273"/>
      <c r="U370" s="274"/>
      <c r="V370" s="275"/>
    </row>
    <row r="371" spans="20:22" ht="14.55" x14ac:dyDescent="0.3">
      <c r="T371" s="273"/>
      <c r="U371" s="274"/>
      <c r="V371" s="275"/>
    </row>
    <row r="372" spans="20:22" ht="14.55" x14ac:dyDescent="0.3">
      <c r="T372" s="273"/>
      <c r="U372" s="274"/>
      <c r="V372" s="275"/>
    </row>
    <row r="373" spans="20:22" ht="14.55" x14ac:dyDescent="0.3">
      <c r="T373" s="273"/>
      <c r="U373" s="274"/>
      <c r="V373" s="275"/>
    </row>
    <row r="374" spans="20:22" ht="14.55" x14ac:dyDescent="0.3">
      <c r="T374" s="273"/>
      <c r="U374" s="274"/>
      <c r="V374" s="275"/>
    </row>
    <row r="375" spans="20:22" ht="14.55" x14ac:dyDescent="0.3">
      <c r="T375" s="273"/>
      <c r="U375" s="274"/>
      <c r="V375" s="275"/>
    </row>
    <row r="376" spans="20:22" ht="14.55" x14ac:dyDescent="0.3">
      <c r="T376" s="273"/>
      <c r="U376" s="274"/>
      <c r="V376" s="275"/>
    </row>
    <row r="377" spans="20:22" ht="14.55" x14ac:dyDescent="0.3">
      <c r="T377" s="273"/>
      <c r="U377" s="274"/>
      <c r="V377" s="275"/>
    </row>
    <row r="378" spans="20:22" ht="14.55" x14ac:dyDescent="0.3">
      <c r="T378" s="273"/>
      <c r="U378" s="274"/>
      <c r="V378" s="275"/>
    </row>
    <row r="379" spans="20:22" ht="14.55" x14ac:dyDescent="0.3">
      <c r="T379" s="273"/>
      <c r="U379" s="274"/>
      <c r="V379" s="275"/>
    </row>
    <row r="380" spans="20:22" ht="14.55" x14ac:dyDescent="0.3">
      <c r="T380" s="273"/>
      <c r="U380" s="274"/>
      <c r="V380" s="275"/>
    </row>
    <row r="381" spans="20:22" ht="14.55" x14ac:dyDescent="0.3">
      <c r="T381" s="273"/>
      <c r="U381" s="274"/>
      <c r="V381" s="275"/>
    </row>
    <row r="382" spans="20:22" ht="14.55" x14ac:dyDescent="0.3">
      <c r="T382" s="273"/>
      <c r="U382" s="274"/>
      <c r="V382" s="275"/>
    </row>
    <row r="383" spans="20:22" ht="14.55" x14ac:dyDescent="0.3">
      <c r="T383" s="273"/>
      <c r="U383" s="274"/>
      <c r="V383" s="275"/>
    </row>
    <row r="384" spans="20:22" ht="14.55" x14ac:dyDescent="0.3">
      <c r="T384" s="273"/>
      <c r="U384" s="274"/>
      <c r="V384" s="275"/>
    </row>
    <row r="385" spans="20:22" ht="14.55" x14ac:dyDescent="0.3">
      <c r="T385" s="273"/>
      <c r="U385" s="274"/>
      <c r="V385" s="275"/>
    </row>
    <row r="386" spans="20:22" ht="14.55" x14ac:dyDescent="0.3">
      <c r="T386" s="273"/>
      <c r="U386" s="274"/>
      <c r="V386" s="275"/>
    </row>
    <row r="387" spans="20:22" ht="14.55" x14ac:dyDescent="0.3">
      <c r="T387" s="273"/>
      <c r="U387" s="274"/>
      <c r="V387" s="275"/>
    </row>
    <row r="388" spans="20:22" ht="14.55" x14ac:dyDescent="0.3">
      <c r="T388" s="273"/>
      <c r="U388" s="274"/>
      <c r="V388" s="275"/>
    </row>
    <row r="389" spans="20:22" ht="14.55" x14ac:dyDescent="0.3">
      <c r="T389" s="273"/>
      <c r="U389" s="274"/>
      <c r="V389" s="275"/>
    </row>
    <row r="390" spans="20:22" ht="14.55" x14ac:dyDescent="0.3">
      <c r="T390" s="273"/>
      <c r="U390" s="274"/>
      <c r="V390" s="275"/>
    </row>
    <row r="391" spans="20:22" ht="14.55" x14ac:dyDescent="0.3">
      <c r="T391" s="273"/>
      <c r="U391" s="274"/>
      <c r="V391" s="275"/>
    </row>
    <row r="392" spans="20:22" ht="14.55" x14ac:dyDescent="0.3">
      <c r="T392" s="273"/>
      <c r="U392" s="274"/>
      <c r="V392" s="275"/>
    </row>
    <row r="393" spans="20:22" ht="14.55" x14ac:dyDescent="0.3">
      <c r="T393" s="273"/>
      <c r="U393" s="274"/>
      <c r="V393" s="275"/>
    </row>
    <row r="394" spans="20:22" ht="14.55" x14ac:dyDescent="0.3">
      <c r="T394" s="273"/>
      <c r="U394" s="274"/>
      <c r="V394" s="275"/>
    </row>
    <row r="395" spans="20:22" ht="14.55" x14ac:dyDescent="0.3">
      <c r="T395" s="273"/>
      <c r="U395" s="274"/>
      <c r="V395" s="275"/>
    </row>
    <row r="396" spans="20:22" ht="14.55" x14ac:dyDescent="0.3">
      <c r="T396" s="273"/>
      <c r="U396" s="274"/>
      <c r="V396" s="275"/>
    </row>
    <row r="397" spans="20:22" ht="14.55" x14ac:dyDescent="0.3">
      <c r="T397" s="273"/>
      <c r="U397" s="274"/>
      <c r="V397" s="275"/>
    </row>
    <row r="398" spans="20:22" ht="14.55" x14ac:dyDescent="0.3">
      <c r="T398" s="273"/>
      <c r="U398" s="274"/>
      <c r="V398" s="275"/>
    </row>
    <row r="399" spans="20:22" ht="14.55" x14ac:dyDescent="0.3">
      <c r="T399" s="273"/>
      <c r="U399" s="274"/>
      <c r="V399" s="275"/>
    </row>
    <row r="400" spans="20:22" ht="14.55" x14ac:dyDescent="0.3">
      <c r="T400" s="273"/>
      <c r="U400" s="274"/>
      <c r="V400" s="275"/>
    </row>
    <row r="401" spans="20:22" ht="14.55" x14ac:dyDescent="0.3">
      <c r="T401" s="273"/>
      <c r="U401" s="274"/>
      <c r="V401" s="275"/>
    </row>
    <row r="402" spans="20:22" ht="14.55" x14ac:dyDescent="0.3">
      <c r="T402" s="273"/>
      <c r="U402" s="274"/>
      <c r="V402" s="275"/>
    </row>
    <row r="403" spans="20:22" ht="14.55" x14ac:dyDescent="0.3">
      <c r="T403" s="273"/>
      <c r="U403" s="274"/>
      <c r="V403" s="275"/>
    </row>
    <row r="404" spans="20:22" ht="14.55" x14ac:dyDescent="0.3">
      <c r="T404" s="273"/>
      <c r="U404" s="274"/>
      <c r="V404" s="275"/>
    </row>
    <row r="405" spans="20:22" ht="14.55" x14ac:dyDescent="0.3">
      <c r="T405" s="273"/>
      <c r="U405" s="274"/>
      <c r="V405" s="275"/>
    </row>
    <row r="406" spans="20:22" ht="14.55" x14ac:dyDescent="0.3">
      <c r="T406" s="273"/>
      <c r="U406" s="274"/>
      <c r="V406" s="275"/>
    </row>
    <row r="407" spans="20:22" ht="14.55" x14ac:dyDescent="0.3">
      <c r="T407" s="273"/>
      <c r="U407" s="274"/>
      <c r="V407" s="275"/>
    </row>
    <row r="408" spans="20:22" ht="14.55" x14ac:dyDescent="0.3">
      <c r="T408" s="273"/>
      <c r="U408" s="274"/>
      <c r="V408" s="275"/>
    </row>
    <row r="409" spans="20:22" ht="14.55" x14ac:dyDescent="0.3">
      <c r="T409" s="273"/>
      <c r="U409" s="274"/>
      <c r="V409" s="275"/>
    </row>
    <row r="410" spans="20:22" ht="14.55" x14ac:dyDescent="0.3">
      <c r="T410" s="273"/>
      <c r="U410" s="274"/>
      <c r="V410" s="275"/>
    </row>
    <row r="411" spans="20:22" ht="14.55" x14ac:dyDescent="0.3">
      <c r="T411" s="273"/>
      <c r="U411" s="274"/>
      <c r="V411" s="275"/>
    </row>
    <row r="412" spans="20:22" ht="14.55" x14ac:dyDescent="0.3">
      <c r="T412" s="273"/>
      <c r="U412" s="274"/>
      <c r="V412" s="275"/>
    </row>
    <row r="413" spans="20:22" ht="14.55" x14ac:dyDescent="0.3">
      <c r="T413" s="273"/>
      <c r="U413" s="274"/>
      <c r="V413" s="275"/>
    </row>
    <row r="414" spans="20:22" ht="14.55" x14ac:dyDescent="0.3">
      <c r="T414" s="273"/>
      <c r="U414" s="274"/>
      <c r="V414" s="275"/>
    </row>
    <row r="415" spans="20:22" ht="14.55" x14ac:dyDescent="0.3">
      <c r="T415" s="273"/>
      <c r="U415" s="274"/>
      <c r="V415" s="275"/>
    </row>
    <row r="416" spans="20:22" ht="14.55" x14ac:dyDescent="0.3">
      <c r="T416" s="273"/>
      <c r="U416" s="274"/>
      <c r="V416" s="275"/>
    </row>
    <row r="417" spans="20:22" ht="14.55" x14ac:dyDescent="0.3">
      <c r="T417" s="273"/>
      <c r="U417" s="274"/>
      <c r="V417" s="275"/>
    </row>
    <row r="418" spans="20:22" ht="14.55" x14ac:dyDescent="0.3">
      <c r="T418" s="273"/>
      <c r="U418" s="274"/>
      <c r="V418" s="275"/>
    </row>
    <row r="419" spans="20:22" ht="14.55" x14ac:dyDescent="0.3">
      <c r="T419" s="273"/>
      <c r="U419" s="274"/>
      <c r="V419" s="275"/>
    </row>
    <row r="420" spans="20:22" ht="14.55" x14ac:dyDescent="0.3">
      <c r="T420" s="273"/>
      <c r="U420" s="274"/>
      <c r="V420" s="275"/>
    </row>
    <row r="421" spans="20:22" ht="14.55" x14ac:dyDescent="0.3">
      <c r="T421" s="273"/>
      <c r="U421" s="274"/>
      <c r="V421" s="275"/>
    </row>
    <row r="422" spans="20:22" ht="14.55" x14ac:dyDescent="0.3">
      <c r="T422" s="273"/>
      <c r="U422" s="274"/>
      <c r="V422" s="275"/>
    </row>
    <row r="423" spans="20:22" ht="14.55" x14ac:dyDescent="0.3">
      <c r="T423" s="273"/>
      <c r="U423" s="274"/>
      <c r="V423" s="275"/>
    </row>
    <row r="424" spans="20:22" ht="14.55" x14ac:dyDescent="0.3">
      <c r="T424" s="273"/>
      <c r="U424" s="274"/>
      <c r="V424" s="275"/>
    </row>
    <row r="425" spans="20:22" ht="14.55" x14ac:dyDescent="0.3">
      <c r="T425" s="273"/>
      <c r="U425" s="274"/>
      <c r="V425" s="275"/>
    </row>
    <row r="426" spans="20:22" ht="14.55" x14ac:dyDescent="0.3">
      <c r="T426" s="273"/>
      <c r="U426" s="274"/>
      <c r="V426" s="275"/>
    </row>
    <row r="427" spans="20:22" ht="14.55" x14ac:dyDescent="0.3">
      <c r="T427" s="273"/>
      <c r="U427" s="274"/>
      <c r="V427" s="275"/>
    </row>
    <row r="428" spans="20:22" ht="14.55" x14ac:dyDescent="0.3">
      <c r="T428" s="273"/>
      <c r="U428" s="274"/>
      <c r="V428" s="275"/>
    </row>
    <row r="429" spans="20:22" ht="14.55" x14ac:dyDescent="0.3">
      <c r="T429" s="273"/>
      <c r="U429" s="274"/>
      <c r="V429" s="275"/>
    </row>
    <row r="430" spans="20:22" ht="14.55" x14ac:dyDescent="0.3">
      <c r="T430" s="273"/>
      <c r="U430" s="274"/>
      <c r="V430" s="275"/>
    </row>
    <row r="431" spans="20:22" ht="14.55" x14ac:dyDescent="0.3">
      <c r="T431" s="273"/>
      <c r="U431" s="274"/>
      <c r="V431" s="275"/>
    </row>
    <row r="432" spans="20:22" ht="14.55" x14ac:dyDescent="0.3">
      <c r="T432" s="273"/>
      <c r="U432" s="274"/>
      <c r="V432" s="275"/>
    </row>
    <row r="433" spans="20:22" ht="14.55" x14ac:dyDescent="0.3">
      <c r="T433" s="273"/>
      <c r="U433" s="274"/>
      <c r="V433" s="275"/>
    </row>
    <row r="434" spans="20:22" ht="14.55" x14ac:dyDescent="0.3">
      <c r="T434" s="273"/>
      <c r="U434" s="274"/>
      <c r="V434" s="275"/>
    </row>
    <row r="435" spans="20:22" ht="14.55" x14ac:dyDescent="0.3">
      <c r="T435" s="273"/>
      <c r="U435" s="274"/>
      <c r="V435" s="275"/>
    </row>
    <row r="436" spans="20:22" ht="14.55" x14ac:dyDescent="0.3">
      <c r="T436" s="273"/>
      <c r="U436" s="274"/>
      <c r="V436" s="275"/>
    </row>
    <row r="437" spans="20:22" ht="14.55" x14ac:dyDescent="0.3">
      <c r="T437" s="273"/>
      <c r="U437" s="274"/>
      <c r="V437" s="275"/>
    </row>
    <row r="438" spans="20:22" ht="14.55" x14ac:dyDescent="0.3">
      <c r="T438" s="273"/>
      <c r="U438" s="274"/>
      <c r="V438" s="275"/>
    </row>
    <row r="439" spans="20:22" ht="14.55" x14ac:dyDescent="0.3">
      <c r="T439" s="273"/>
      <c r="U439" s="274"/>
      <c r="V439" s="275"/>
    </row>
    <row r="440" spans="20:22" ht="14.55" x14ac:dyDescent="0.3">
      <c r="T440" s="273"/>
      <c r="U440" s="274"/>
      <c r="V440" s="275"/>
    </row>
    <row r="441" spans="20:22" ht="14.55" x14ac:dyDescent="0.3">
      <c r="T441" s="273"/>
      <c r="U441" s="274"/>
      <c r="V441" s="275"/>
    </row>
    <row r="442" spans="20:22" ht="14.55" x14ac:dyDescent="0.3">
      <c r="T442" s="273"/>
      <c r="U442" s="274"/>
      <c r="V442" s="275"/>
    </row>
    <row r="443" spans="20:22" ht="14.55" x14ac:dyDescent="0.3">
      <c r="T443" s="273"/>
      <c r="U443" s="274"/>
      <c r="V443" s="275"/>
    </row>
    <row r="444" spans="20:22" ht="14.55" x14ac:dyDescent="0.3">
      <c r="T444" s="273"/>
      <c r="U444" s="274"/>
      <c r="V444" s="275"/>
    </row>
    <row r="445" spans="20:22" ht="14.55" x14ac:dyDescent="0.3">
      <c r="T445" s="273"/>
      <c r="U445" s="274"/>
      <c r="V445" s="275"/>
    </row>
    <row r="446" spans="20:22" ht="14.55" x14ac:dyDescent="0.3">
      <c r="T446" s="273"/>
      <c r="U446" s="274"/>
      <c r="V446" s="275"/>
    </row>
    <row r="447" spans="20:22" ht="14.55" x14ac:dyDescent="0.3">
      <c r="T447" s="273"/>
      <c r="U447" s="274"/>
      <c r="V447" s="275"/>
    </row>
    <row r="448" spans="20:22" ht="14.55" x14ac:dyDescent="0.3">
      <c r="T448" s="273"/>
      <c r="U448" s="274"/>
      <c r="V448" s="275"/>
    </row>
    <row r="449" spans="20:22" ht="14.55" x14ac:dyDescent="0.3">
      <c r="T449" s="273"/>
      <c r="U449" s="274"/>
      <c r="V449" s="275"/>
    </row>
    <row r="450" spans="20:22" ht="14.55" x14ac:dyDescent="0.3">
      <c r="T450" s="273"/>
      <c r="U450" s="274"/>
      <c r="V450" s="275"/>
    </row>
    <row r="451" spans="20:22" ht="14.55" x14ac:dyDescent="0.3">
      <c r="T451" s="273"/>
      <c r="U451" s="274"/>
      <c r="V451" s="275"/>
    </row>
    <row r="452" spans="20:22" ht="14.55" x14ac:dyDescent="0.3">
      <c r="T452" s="273"/>
      <c r="U452" s="274"/>
      <c r="V452" s="275"/>
    </row>
    <row r="453" spans="20:22" ht="14.55" x14ac:dyDescent="0.3">
      <c r="T453" s="273"/>
      <c r="U453" s="274"/>
      <c r="V453" s="275"/>
    </row>
    <row r="454" spans="20:22" ht="14.55" x14ac:dyDescent="0.3">
      <c r="T454" s="273"/>
      <c r="U454" s="274"/>
      <c r="V454" s="275"/>
    </row>
    <row r="455" spans="20:22" ht="14.55" x14ac:dyDescent="0.3">
      <c r="T455" s="273"/>
      <c r="U455" s="274"/>
      <c r="V455" s="275"/>
    </row>
    <row r="456" spans="20:22" ht="14.55" x14ac:dyDescent="0.3">
      <c r="T456" s="273"/>
      <c r="U456" s="274"/>
      <c r="V456" s="275"/>
    </row>
    <row r="457" spans="20:22" ht="14.55" x14ac:dyDescent="0.3">
      <c r="T457" s="273"/>
      <c r="U457" s="274"/>
      <c r="V457" s="275"/>
    </row>
    <row r="458" spans="20:22" ht="14.55" x14ac:dyDescent="0.3">
      <c r="T458" s="273"/>
      <c r="U458" s="274"/>
      <c r="V458" s="275"/>
    </row>
    <row r="459" spans="20:22" ht="14.55" x14ac:dyDescent="0.3">
      <c r="T459" s="273"/>
      <c r="U459" s="274"/>
      <c r="V459" s="275"/>
    </row>
    <row r="460" spans="20:22" ht="14.55" x14ac:dyDescent="0.3">
      <c r="T460" s="273"/>
      <c r="U460" s="274"/>
      <c r="V460" s="275"/>
    </row>
    <row r="461" spans="20:22" ht="14.55" x14ac:dyDescent="0.3">
      <c r="T461" s="273"/>
      <c r="U461" s="274"/>
      <c r="V461" s="275"/>
    </row>
    <row r="462" spans="20:22" ht="14.55" x14ac:dyDescent="0.3">
      <c r="T462" s="273"/>
      <c r="U462" s="274"/>
      <c r="V462" s="275"/>
    </row>
    <row r="463" spans="20:22" ht="14.55" x14ac:dyDescent="0.3">
      <c r="T463" s="273"/>
      <c r="U463" s="274"/>
      <c r="V463" s="275"/>
    </row>
    <row r="464" spans="20:22" ht="14.55" x14ac:dyDescent="0.3">
      <c r="T464" s="273"/>
      <c r="U464" s="274"/>
      <c r="V464" s="275"/>
    </row>
    <row r="465" spans="20:22" ht="14.55" x14ac:dyDescent="0.3">
      <c r="T465" s="273"/>
      <c r="U465" s="274"/>
      <c r="V465" s="275"/>
    </row>
    <row r="466" spans="20:22" ht="14.55" x14ac:dyDescent="0.3">
      <c r="T466" s="273"/>
      <c r="U466" s="274"/>
      <c r="V466" s="275"/>
    </row>
    <row r="467" spans="20:22" ht="14.55" x14ac:dyDescent="0.3">
      <c r="T467" s="273"/>
      <c r="U467" s="274"/>
      <c r="V467" s="275"/>
    </row>
    <row r="468" spans="20:22" ht="14.55" x14ac:dyDescent="0.3">
      <c r="T468" s="273"/>
      <c r="U468" s="274"/>
      <c r="V468" s="275"/>
    </row>
    <row r="469" spans="20:22" ht="14.55" x14ac:dyDescent="0.3">
      <c r="T469" s="273"/>
      <c r="U469" s="274"/>
      <c r="V469" s="275"/>
    </row>
    <row r="470" spans="20:22" ht="14.55" x14ac:dyDescent="0.3">
      <c r="T470" s="273"/>
      <c r="U470" s="274"/>
      <c r="V470" s="275"/>
    </row>
    <row r="471" spans="20:22" ht="14.55" x14ac:dyDescent="0.3">
      <c r="T471" s="273"/>
      <c r="U471" s="274"/>
      <c r="V471" s="275"/>
    </row>
    <row r="472" spans="20:22" ht="14.55" x14ac:dyDescent="0.3">
      <c r="T472" s="273"/>
      <c r="U472" s="274"/>
      <c r="V472" s="275"/>
    </row>
    <row r="473" spans="20:22" ht="14.55" x14ac:dyDescent="0.3">
      <c r="T473" s="273"/>
      <c r="U473" s="274"/>
      <c r="V473" s="275"/>
    </row>
    <row r="474" spans="20:22" ht="14.55" x14ac:dyDescent="0.3">
      <c r="T474" s="273"/>
      <c r="U474" s="274"/>
      <c r="V474" s="275"/>
    </row>
    <row r="475" spans="20:22" ht="14.55" x14ac:dyDescent="0.3">
      <c r="T475" s="273"/>
      <c r="U475" s="274"/>
      <c r="V475" s="275"/>
    </row>
    <row r="476" spans="20:22" ht="14.55" x14ac:dyDescent="0.3">
      <c r="T476" s="273"/>
      <c r="U476" s="274"/>
      <c r="V476" s="275"/>
    </row>
    <row r="477" spans="20:22" ht="14.55" x14ac:dyDescent="0.3">
      <c r="T477" s="273"/>
      <c r="U477" s="274"/>
      <c r="V477" s="275"/>
    </row>
    <row r="478" spans="20:22" ht="14.55" x14ac:dyDescent="0.3">
      <c r="T478" s="273"/>
      <c r="U478" s="274"/>
      <c r="V478" s="275"/>
    </row>
    <row r="479" spans="20:22" ht="14.55" x14ac:dyDescent="0.3">
      <c r="T479" s="273"/>
      <c r="U479" s="274"/>
      <c r="V479" s="275"/>
    </row>
    <row r="480" spans="20:22" ht="14.55" x14ac:dyDescent="0.3">
      <c r="T480" s="273"/>
      <c r="U480" s="274"/>
      <c r="V480" s="275"/>
    </row>
    <row r="481" spans="20:22" ht="14.55" x14ac:dyDescent="0.3">
      <c r="T481" s="273"/>
      <c r="U481" s="274"/>
      <c r="V481" s="275"/>
    </row>
    <row r="482" spans="20:22" ht="14.55" x14ac:dyDescent="0.3">
      <c r="T482" s="273"/>
      <c r="U482" s="274"/>
      <c r="V482" s="275"/>
    </row>
    <row r="483" spans="20:22" ht="14.55" x14ac:dyDescent="0.3">
      <c r="T483" s="273"/>
      <c r="U483" s="274"/>
      <c r="V483" s="275"/>
    </row>
    <row r="484" spans="20:22" ht="14.55" x14ac:dyDescent="0.3">
      <c r="T484" s="273"/>
      <c r="U484" s="274"/>
      <c r="V484" s="275"/>
    </row>
    <row r="485" spans="20:22" ht="14.55" x14ac:dyDescent="0.3">
      <c r="T485" s="273"/>
      <c r="U485" s="274"/>
      <c r="V485" s="275"/>
    </row>
    <row r="486" spans="20:22" ht="14.55" x14ac:dyDescent="0.3">
      <c r="T486" s="273"/>
      <c r="U486" s="274"/>
      <c r="V486" s="275"/>
    </row>
    <row r="487" spans="20:22" ht="14.55" x14ac:dyDescent="0.3">
      <c r="T487" s="273"/>
      <c r="U487" s="274"/>
      <c r="V487" s="275"/>
    </row>
    <row r="488" spans="20:22" ht="14.55" x14ac:dyDescent="0.3">
      <c r="T488" s="273"/>
      <c r="U488" s="274"/>
      <c r="V488" s="275"/>
    </row>
    <row r="489" spans="20:22" ht="14.55" x14ac:dyDescent="0.3">
      <c r="T489" s="273"/>
      <c r="U489" s="274"/>
      <c r="V489" s="275"/>
    </row>
    <row r="490" spans="20:22" ht="14.55" x14ac:dyDescent="0.3">
      <c r="T490" s="273"/>
      <c r="U490" s="274"/>
      <c r="V490" s="275"/>
    </row>
    <row r="491" spans="20:22" ht="14.55" x14ac:dyDescent="0.3">
      <c r="T491" s="273"/>
      <c r="U491" s="274"/>
      <c r="V491" s="275"/>
    </row>
    <row r="492" spans="20:22" ht="14.55" x14ac:dyDescent="0.3">
      <c r="T492" s="273"/>
      <c r="U492" s="274"/>
      <c r="V492" s="275"/>
    </row>
    <row r="493" spans="20:22" ht="14.55" x14ac:dyDescent="0.3">
      <c r="T493" s="273"/>
      <c r="U493" s="274"/>
      <c r="V493" s="275"/>
    </row>
    <row r="494" spans="20:22" ht="14.55" x14ac:dyDescent="0.3">
      <c r="T494" s="273"/>
      <c r="U494" s="274"/>
      <c r="V494" s="275"/>
    </row>
    <row r="495" spans="20:22" ht="14.55" x14ac:dyDescent="0.3">
      <c r="T495" s="273"/>
      <c r="U495" s="274"/>
      <c r="V495" s="275"/>
    </row>
    <row r="496" spans="20:22" ht="14.55" x14ac:dyDescent="0.3">
      <c r="T496" s="273"/>
      <c r="U496" s="274"/>
      <c r="V496" s="275"/>
    </row>
    <row r="497" spans="20:22" ht="14.55" x14ac:dyDescent="0.3">
      <c r="T497" s="273"/>
      <c r="U497" s="274"/>
      <c r="V497" s="275"/>
    </row>
    <row r="498" spans="20:22" ht="14.55" x14ac:dyDescent="0.3">
      <c r="T498" s="273"/>
      <c r="U498" s="274"/>
      <c r="V498" s="275"/>
    </row>
    <row r="499" spans="20:22" ht="14.55" x14ac:dyDescent="0.3">
      <c r="T499" s="273"/>
      <c r="U499" s="274"/>
      <c r="V499" s="275"/>
    </row>
    <row r="500" spans="20:22" ht="14.55" x14ac:dyDescent="0.3">
      <c r="T500" s="273"/>
      <c r="U500" s="274"/>
      <c r="V500" s="275"/>
    </row>
    <row r="501" spans="20:22" ht="14.55" x14ac:dyDescent="0.3">
      <c r="T501" s="273"/>
      <c r="U501" s="274"/>
      <c r="V501" s="275"/>
    </row>
    <row r="502" spans="20:22" ht="14.55" x14ac:dyDescent="0.3">
      <c r="T502" s="273"/>
      <c r="U502" s="274"/>
      <c r="V502" s="275"/>
    </row>
    <row r="503" spans="20:22" ht="14.55" x14ac:dyDescent="0.3">
      <c r="T503" s="273"/>
      <c r="U503" s="274"/>
      <c r="V503" s="275"/>
    </row>
    <row r="504" spans="20:22" ht="14.55" x14ac:dyDescent="0.3">
      <c r="T504" s="273"/>
      <c r="U504" s="274"/>
      <c r="V504" s="275"/>
    </row>
    <row r="505" spans="20:22" ht="14.55" x14ac:dyDescent="0.3">
      <c r="T505" s="273"/>
      <c r="U505" s="274"/>
      <c r="V505" s="275"/>
    </row>
    <row r="506" spans="20:22" ht="14.55" x14ac:dyDescent="0.3">
      <c r="T506" s="273"/>
      <c r="U506" s="274"/>
      <c r="V506" s="275"/>
    </row>
    <row r="507" spans="20:22" ht="14.55" x14ac:dyDescent="0.3">
      <c r="T507" s="273"/>
      <c r="U507" s="274"/>
      <c r="V507" s="275"/>
    </row>
    <row r="508" spans="20:22" ht="14.55" x14ac:dyDescent="0.3">
      <c r="T508" s="273"/>
      <c r="U508" s="274"/>
      <c r="V508" s="275"/>
    </row>
    <row r="509" spans="20:22" ht="14.55" x14ac:dyDescent="0.3">
      <c r="T509" s="273"/>
      <c r="U509" s="274"/>
      <c r="V509" s="275"/>
    </row>
    <row r="510" spans="20:22" ht="14.55" x14ac:dyDescent="0.3">
      <c r="T510" s="273"/>
      <c r="U510" s="274"/>
      <c r="V510" s="275"/>
    </row>
    <row r="511" spans="20:22" ht="14.55" x14ac:dyDescent="0.3">
      <c r="T511" s="273"/>
      <c r="U511" s="274"/>
      <c r="V511" s="275"/>
    </row>
    <row r="512" spans="20:22" ht="14.55" x14ac:dyDescent="0.3">
      <c r="T512" s="273"/>
      <c r="U512" s="274"/>
      <c r="V512" s="275"/>
    </row>
    <row r="513" spans="20:22" ht="14.55" x14ac:dyDescent="0.3">
      <c r="T513" s="273"/>
      <c r="U513" s="274"/>
      <c r="V513" s="275"/>
    </row>
    <row r="514" spans="20:22" ht="14.55" x14ac:dyDescent="0.3">
      <c r="T514" s="273"/>
      <c r="U514" s="274"/>
      <c r="V514" s="275"/>
    </row>
    <row r="515" spans="20:22" ht="14.55" x14ac:dyDescent="0.3">
      <c r="T515" s="273"/>
      <c r="U515" s="274"/>
      <c r="V515" s="275"/>
    </row>
    <row r="516" spans="20:22" ht="14.55" x14ac:dyDescent="0.3">
      <c r="T516" s="273"/>
      <c r="U516" s="274"/>
      <c r="V516" s="275"/>
    </row>
    <row r="517" spans="20:22" ht="14.55" x14ac:dyDescent="0.3">
      <c r="T517" s="273"/>
      <c r="U517" s="274"/>
      <c r="V517" s="275"/>
    </row>
    <row r="518" spans="20:22" ht="14.55" x14ac:dyDescent="0.3">
      <c r="T518" s="273"/>
      <c r="U518" s="274"/>
      <c r="V518" s="275"/>
    </row>
    <row r="519" spans="20:22" ht="14.55" x14ac:dyDescent="0.3">
      <c r="T519" s="273"/>
      <c r="U519" s="274"/>
      <c r="V519" s="275"/>
    </row>
    <row r="520" spans="20:22" ht="14.55" x14ac:dyDescent="0.3">
      <c r="T520" s="273"/>
      <c r="U520" s="274"/>
      <c r="V520" s="275"/>
    </row>
    <row r="521" spans="20:22" ht="14.55" x14ac:dyDescent="0.3">
      <c r="T521" s="273"/>
      <c r="U521" s="274"/>
      <c r="V521" s="275"/>
    </row>
    <row r="522" spans="20:22" ht="14.55" x14ac:dyDescent="0.3">
      <c r="T522" s="273"/>
      <c r="U522" s="274"/>
      <c r="V522" s="275"/>
    </row>
    <row r="523" spans="20:22" ht="14.55" x14ac:dyDescent="0.3">
      <c r="T523" s="273"/>
      <c r="U523" s="274"/>
      <c r="V523" s="275"/>
    </row>
    <row r="524" spans="20:22" ht="14.55" x14ac:dyDescent="0.3">
      <c r="T524" s="273"/>
      <c r="U524" s="274"/>
      <c r="V524" s="275"/>
    </row>
    <row r="525" spans="20:22" ht="14.55" x14ac:dyDescent="0.3">
      <c r="T525" s="273"/>
      <c r="U525" s="274"/>
      <c r="V525" s="275"/>
    </row>
    <row r="526" spans="20:22" ht="14.55" x14ac:dyDescent="0.3">
      <c r="T526" s="273"/>
      <c r="U526" s="274"/>
      <c r="V526" s="275"/>
    </row>
    <row r="527" spans="20:22" ht="14.55" x14ac:dyDescent="0.3">
      <c r="T527" s="273"/>
      <c r="U527" s="274"/>
      <c r="V527" s="275"/>
    </row>
    <row r="528" spans="20:22" ht="14.55" x14ac:dyDescent="0.3">
      <c r="T528" s="273"/>
      <c r="U528" s="274"/>
      <c r="V528" s="275"/>
    </row>
    <row r="529" spans="20:22" ht="14.55" x14ac:dyDescent="0.3">
      <c r="T529" s="273"/>
      <c r="U529" s="274"/>
      <c r="V529" s="275"/>
    </row>
    <row r="530" spans="20:22" ht="14.55" x14ac:dyDescent="0.3">
      <c r="T530" s="273"/>
      <c r="U530" s="274"/>
      <c r="V530" s="275"/>
    </row>
    <row r="531" spans="20:22" ht="14.55" x14ac:dyDescent="0.3">
      <c r="T531" s="273"/>
      <c r="U531" s="274"/>
      <c r="V531" s="275"/>
    </row>
    <row r="532" spans="20:22" ht="14.55" x14ac:dyDescent="0.3">
      <c r="T532" s="273"/>
      <c r="U532" s="274"/>
      <c r="V532" s="275"/>
    </row>
    <row r="533" spans="20:22" ht="14.55" x14ac:dyDescent="0.3">
      <c r="T533" s="273"/>
      <c r="U533" s="274"/>
      <c r="V533" s="275"/>
    </row>
    <row r="534" spans="20:22" ht="14.55" x14ac:dyDescent="0.3">
      <c r="T534" s="273"/>
      <c r="U534" s="274"/>
      <c r="V534" s="275"/>
    </row>
    <row r="535" spans="20:22" ht="14.55" x14ac:dyDescent="0.3">
      <c r="T535" s="273"/>
      <c r="U535" s="274"/>
      <c r="V535" s="275"/>
    </row>
    <row r="536" spans="20:22" ht="14.55" x14ac:dyDescent="0.3">
      <c r="T536" s="273"/>
      <c r="U536" s="274"/>
      <c r="V536" s="275"/>
    </row>
    <row r="537" spans="20:22" ht="14.55" x14ac:dyDescent="0.3">
      <c r="T537" s="273"/>
      <c r="U537" s="274"/>
      <c r="V537" s="275"/>
    </row>
    <row r="538" spans="20:22" ht="14.55" x14ac:dyDescent="0.3">
      <c r="T538" s="273"/>
      <c r="U538" s="274"/>
      <c r="V538" s="275"/>
    </row>
    <row r="539" spans="20:22" ht="14.55" x14ac:dyDescent="0.3">
      <c r="T539" s="273"/>
      <c r="U539" s="274"/>
      <c r="V539" s="275"/>
    </row>
    <row r="540" spans="20:22" ht="14.55" x14ac:dyDescent="0.3">
      <c r="T540" s="273"/>
      <c r="U540" s="274"/>
      <c r="V540" s="275"/>
    </row>
    <row r="541" spans="20:22" ht="14.55" x14ac:dyDescent="0.3">
      <c r="T541" s="273"/>
      <c r="U541" s="274"/>
      <c r="V541" s="275"/>
    </row>
    <row r="542" spans="20:22" ht="14.55" x14ac:dyDescent="0.3">
      <c r="T542" s="273"/>
      <c r="U542" s="274"/>
      <c r="V542" s="275"/>
    </row>
    <row r="543" spans="20:22" ht="14.55" x14ac:dyDescent="0.3">
      <c r="T543" s="273"/>
      <c r="U543" s="274"/>
      <c r="V543" s="275"/>
    </row>
    <row r="544" spans="20:22" ht="14.55" x14ac:dyDescent="0.3">
      <c r="T544" s="273"/>
      <c r="U544" s="274"/>
      <c r="V544" s="275"/>
    </row>
    <row r="545" spans="20:22" ht="14.55" x14ac:dyDescent="0.3">
      <c r="T545" s="273"/>
      <c r="U545" s="274"/>
      <c r="V545" s="275"/>
    </row>
    <row r="546" spans="20:22" ht="14.55" x14ac:dyDescent="0.3">
      <c r="T546" s="273"/>
      <c r="U546" s="274"/>
      <c r="V546" s="275"/>
    </row>
    <row r="547" spans="20:22" ht="14.55" x14ac:dyDescent="0.3">
      <c r="T547" s="273"/>
      <c r="U547" s="274"/>
      <c r="V547" s="275"/>
    </row>
    <row r="548" spans="20:22" ht="14.55" x14ac:dyDescent="0.3">
      <c r="T548" s="273"/>
      <c r="U548" s="274"/>
      <c r="V548" s="275"/>
    </row>
    <row r="549" spans="20:22" ht="14.55" x14ac:dyDescent="0.3">
      <c r="T549" s="273"/>
      <c r="U549" s="274"/>
      <c r="V549" s="275"/>
    </row>
    <row r="550" spans="20:22" ht="14.55" x14ac:dyDescent="0.3">
      <c r="T550" s="273"/>
      <c r="U550" s="274"/>
      <c r="V550" s="275"/>
    </row>
    <row r="551" spans="20:22" ht="14.55" x14ac:dyDescent="0.3">
      <c r="T551" s="273"/>
      <c r="U551" s="274"/>
      <c r="V551" s="275"/>
    </row>
    <row r="552" spans="20:22" ht="14.55" x14ac:dyDescent="0.3">
      <c r="T552" s="273"/>
      <c r="U552" s="274"/>
      <c r="V552" s="275"/>
    </row>
    <row r="553" spans="20:22" ht="14.55" x14ac:dyDescent="0.3">
      <c r="T553" s="273"/>
      <c r="U553" s="274"/>
      <c r="V553" s="275"/>
    </row>
    <row r="554" spans="20:22" ht="14.55" x14ac:dyDescent="0.3">
      <c r="T554" s="273"/>
      <c r="U554" s="274"/>
      <c r="V554" s="275"/>
    </row>
    <row r="555" spans="20:22" ht="14.55" x14ac:dyDescent="0.3">
      <c r="T555" s="273"/>
      <c r="U555" s="274"/>
      <c r="V555" s="275"/>
    </row>
    <row r="556" spans="20:22" ht="14.55" x14ac:dyDescent="0.3">
      <c r="T556" s="273"/>
      <c r="U556" s="274"/>
      <c r="V556" s="275"/>
    </row>
    <row r="557" spans="20:22" ht="14.55" x14ac:dyDescent="0.3">
      <c r="T557" s="273"/>
      <c r="U557" s="274"/>
      <c r="V557" s="275"/>
    </row>
    <row r="558" spans="20:22" ht="14.55" x14ac:dyDescent="0.3">
      <c r="T558" s="273"/>
      <c r="U558" s="274"/>
      <c r="V558" s="275"/>
    </row>
    <row r="559" spans="20:22" ht="14.55" x14ac:dyDescent="0.3">
      <c r="T559" s="273"/>
      <c r="U559" s="274"/>
      <c r="V559" s="275"/>
    </row>
    <row r="560" spans="20:22" ht="14.55" x14ac:dyDescent="0.3">
      <c r="T560" s="273"/>
      <c r="U560" s="274"/>
      <c r="V560" s="275"/>
    </row>
    <row r="561" spans="20:22" ht="14.55" x14ac:dyDescent="0.3">
      <c r="T561" s="273"/>
      <c r="U561" s="274"/>
      <c r="V561" s="275"/>
    </row>
    <row r="562" spans="20:22" ht="14.55" x14ac:dyDescent="0.3">
      <c r="T562" s="273"/>
      <c r="U562" s="274"/>
      <c r="V562" s="275"/>
    </row>
    <row r="563" spans="20:22" ht="14.55" x14ac:dyDescent="0.3">
      <c r="T563" s="273"/>
      <c r="U563" s="274"/>
      <c r="V563" s="275"/>
    </row>
    <row r="564" spans="20:22" ht="14.55" x14ac:dyDescent="0.3">
      <c r="T564" s="273"/>
      <c r="U564" s="274"/>
      <c r="V564" s="275"/>
    </row>
    <row r="565" spans="20:22" ht="14.55" x14ac:dyDescent="0.3">
      <c r="T565" s="273"/>
      <c r="U565" s="274"/>
      <c r="V565" s="275"/>
    </row>
    <row r="566" spans="20:22" ht="14.55" x14ac:dyDescent="0.3">
      <c r="T566" s="273"/>
      <c r="U566" s="274"/>
      <c r="V566" s="275"/>
    </row>
    <row r="567" spans="20:22" ht="14.55" x14ac:dyDescent="0.3">
      <c r="T567" s="273"/>
      <c r="U567" s="274"/>
      <c r="V567" s="275"/>
    </row>
    <row r="568" spans="20:22" ht="14.55" x14ac:dyDescent="0.3">
      <c r="T568" s="273"/>
      <c r="U568" s="274"/>
      <c r="V568" s="275"/>
    </row>
    <row r="569" spans="20:22" ht="14.55" x14ac:dyDescent="0.3">
      <c r="T569" s="273"/>
      <c r="U569" s="274"/>
      <c r="V569" s="275"/>
    </row>
    <row r="570" spans="20:22" ht="14.55" x14ac:dyDescent="0.3">
      <c r="T570" s="273"/>
      <c r="U570" s="274"/>
      <c r="V570" s="275"/>
    </row>
    <row r="571" spans="20:22" ht="14.55" x14ac:dyDescent="0.3">
      <c r="T571" s="273"/>
      <c r="U571" s="274"/>
      <c r="V571" s="275"/>
    </row>
    <row r="572" spans="20:22" ht="14.55" x14ac:dyDescent="0.3">
      <c r="T572" s="273"/>
      <c r="U572" s="274"/>
      <c r="V572" s="275"/>
    </row>
    <row r="573" spans="20:22" ht="14.55" x14ac:dyDescent="0.3">
      <c r="T573" s="273"/>
      <c r="U573" s="274"/>
      <c r="V573" s="275"/>
    </row>
    <row r="574" spans="20:22" ht="14.55" x14ac:dyDescent="0.3">
      <c r="T574" s="273"/>
      <c r="U574" s="274"/>
      <c r="V574" s="275"/>
    </row>
    <row r="575" spans="20:22" ht="14.55" x14ac:dyDescent="0.3">
      <c r="T575" s="273"/>
      <c r="U575" s="274"/>
      <c r="V575" s="275"/>
    </row>
    <row r="576" spans="20:22" ht="14.55" x14ac:dyDescent="0.3">
      <c r="T576" s="273"/>
      <c r="U576" s="274"/>
      <c r="V576" s="275"/>
    </row>
    <row r="577" spans="20:22" ht="14.55" x14ac:dyDescent="0.3">
      <c r="T577" s="273"/>
      <c r="U577" s="274"/>
      <c r="V577" s="275"/>
    </row>
    <row r="578" spans="20:22" ht="14.55" x14ac:dyDescent="0.3">
      <c r="T578" s="273"/>
      <c r="U578" s="274"/>
      <c r="V578" s="275"/>
    </row>
    <row r="579" spans="20:22" ht="14.55" x14ac:dyDescent="0.3">
      <c r="T579" s="273"/>
      <c r="U579" s="274"/>
      <c r="V579" s="275"/>
    </row>
    <row r="580" spans="20:22" ht="14.55" x14ac:dyDescent="0.3">
      <c r="T580" s="273"/>
      <c r="U580" s="274"/>
      <c r="V580" s="275"/>
    </row>
    <row r="581" spans="20:22" ht="14.55" x14ac:dyDescent="0.3">
      <c r="T581" s="273"/>
      <c r="U581" s="274"/>
      <c r="V581" s="275"/>
    </row>
    <row r="582" spans="20:22" ht="14.55" x14ac:dyDescent="0.3">
      <c r="T582" s="273"/>
      <c r="U582" s="274"/>
      <c r="V582" s="275"/>
    </row>
    <row r="583" spans="20:22" ht="14.55" x14ac:dyDescent="0.3">
      <c r="T583" s="273"/>
      <c r="U583" s="274"/>
      <c r="V583" s="275"/>
    </row>
    <row r="584" spans="20:22" ht="14.55" x14ac:dyDescent="0.3">
      <c r="T584" s="273"/>
      <c r="U584" s="274"/>
      <c r="V584" s="275"/>
    </row>
    <row r="585" spans="20:22" ht="14.55" x14ac:dyDescent="0.3">
      <c r="T585" s="273"/>
      <c r="U585" s="274"/>
      <c r="V585" s="275"/>
    </row>
    <row r="586" spans="20:22" ht="14.55" x14ac:dyDescent="0.3">
      <c r="T586" s="273"/>
      <c r="U586" s="274"/>
      <c r="V586" s="275"/>
    </row>
    <row r="587" spans="20:22" ht="14.55" x14ac:dyDescent="0.3">
      <c r="T587" s="273"/>
      <c r="U587" s="274"/>
      <c r="V587" s="275"/>
    </row>
    <row r="588" spans="20:22" ht="14.55" x14ac:dyDescent="0.3">
      <c r="T588" s="273"/>
      <c r="U588" s="274"/>
      <c r="V588" s="275"/>
    </row>
    <row r="589" spans="20:22" ht="14.55" x14ac:dyDescent="0.3">
      <c r="T589" s="273"/>
      <c r="U589" s="274"/>
      <c r="V589" s="275"/>
    </row>
    <row r="590" spans="20:22" ht="14.55" x14ac:dyDescent="0.3">
      <c r="T590" s="273"/>
      <c r="U590" s="274"/>
      <c r="V590" s="275"/>
    </row>
    <row r="591" spans="20:22" ht="14.55" x14ac:dyDescent="0.3">
      <c r="T591" s="273"/>
      <c r="U591" s="274"/>
      <c r="V591" s="275"/>
    </row>
    <row r="592" spans="20:22" ht="14.55" x14ac:dyDescent="0.3">
      <c r="T592" s="273"/>
      <c r="U592" s="274"/>
      <c r="V592" s="275"/>
    </row>
    <row r="593" spans="20:22" ht="14.55" x14ac:dyDescent="0.3">
      <c r="T593" s="273"/>
      <c r="U593" s="274"/>
      <c r="V593" s="275"/>
    </row>
    <row r="594" spans="20:22" ht="14.55" x14ac:dyDescent="0.3">
      <c r="T594" s="273"/>
      <c r="U594" s="274"/>
      <c r="V594" s="275"/>
    </row>
    <row r="595" spans="20:22" ht="14.55" x14ac:dyDescent="0.3">
      <c r="T595" s="273"/>
      <c r="U595" s="274"/>
      <c r="V595" s="275"/>
    </row>
    <row r="596" spans="20:22" ht="14.55" x14ac:dyDescent="0.3">
      <c r="T596" s="273"/>
      <c r="U596" s="274"/>
      <c r="V596" s="275"/>
    </row>
    <row r="597" spans="20:22" ht="14.55" x14ac:dyDescent="0.3">
      <c r="T597" s="273"/>
      <c r="U597" s="274"/>
      <c r="V597" s="275"/>
    </row>
    <row r="598" spans="20:22" ht="14.55" x14ac:dyDescent="0.3">
      <c r="T598" s="273"/>
      <c r="U598" s="274"/>
      <c r="V598" s="275"/>
    </row>
    <row r="599" spans="20:22" ht="14.55" x14ac:dyDescent="0.3">
      <c r="T599" s="273"/>
      <c r="U599" s="274"/>
      <c r="V599" s="275"/>
    </row>
    <row r="600" spans="20:22" ht="14.55" x14ac:dyDescent="0.3">
      <c r="T600" s="273"/>
      <c r="U600" s="274"/>
      <c r="V600" s="275"/>
    </row>
    <row r="601" spans="20:22" ht="14.55" x14ac:dyDescent="0.3">
      <c r="T601" s="273"/>
      <c r="U601" s="274"/>
      <c r="V601" s="275"/>
    </row>
    <row r="602" spans="20:22" ht="14.55" x14ac:dyDescent="0.3">
      <c r="T602" s="273"/>
      <c r="U602" s="274"/>
      <c r="V602" s="275"/>
    </row>
  </sheetData>
  <sheetProtection selectLockedCells="1"/>
  <mergeCells count="111">
    <mergeCell ref="H122:I122"/>
    <mergeCell ref="J122:K122"/>
    <mergeCell ref="H123:I123"/>
    <mergeCell ref="H120:I120"/>
    <mergeCell ref="J120:K120"/>
    <mergeCell ref="H121:I121"/>
    <mergeCell ref="J121:K121"/>
    <mergeCell ref="H117:I117"/>
    <mergeCell ref="J117:K117"/>
    <mergeCell ref="H118:I118"/>
    <mergeCell ref="J118:K118"/>
    <mergeCell ref="H119:I119"/>
    <mergeCell ref="J119:K119"/>
    <mergeCell ref="H114:I114"/>
    <mergeCell ref="J114:K114"/>
    <mergeCell ref="H115:I115"/>
    <mergeCell ref="J115:K115"/>
    <mergeCell ref="H116:I116"/>
    <mergeCell ref="J116:K116"/>
    <mergeCell ref="H111:I111"/>
    <mergeCell ref="J111:K111"/>
    <mergeCell ref="H112:I112"/>
    <mergeCell ref="J112:K112"/>
    <mergeCell ref="H113:I113"/>
    <mergeCell ref="J113:K113"/>
    <mergeCell ref="G107:H107"/>
    <mergeCell ref="I107:J107"/>
    <mergeCell ref="K107:M107"/>
    <mergeCell ref="B108:E108"/>
    <mergeCell ref="L108:M108"/>
    <mergeCell ref="H110:K110"/>
    <mergeCell ref="B99:E99"/>
    <mergeCell ref="L99:M99"/>
    <mergeCell ref="C101:C105"/>
    <mergeCell ref="L101:M101"/>
    <mergeCell ref="L102:M102"/>
    <mergeCell ref="L103:M103"/>
    <mergeCell ref="L104:M104"/>
    <mergeCell ref="L105:M105"/>
    <mergeCell ref="L95:M95"/>
    <mergeCell ref="B96:E96"/>
    <mergeCell ref="L96:M96"/>
    <mergeCell ref="B97:E97"/>
    <mergeCell ref="L97:M97"/>
    <mergeCell ref="B98:E98"/>
    <mergeCell ref="L98:M98"/>
    <mergeCell ref="B88:E88"/>
    <mergeCell ref="L88:M88"/>
    <mergeCell ref="B89:E89"/>
    <mergeCell ref="L89:M89"/>
    <mergeCell ref="B90:E90"/>
    <mergeCell ref="L90:M90"/>
    <mergeCell ref="L80:M80"/>
    <mergeCell ref="L81:M81"/>
    <mergeCell ref="L82:M82"/>
    <mergeCell ref="L86:M86"/>
    <mergeCell ref="B87:E87"/>
    <mergeCell ref="L87:M87"/>
    <mergeCell ref="L71:M71"/>
    <mergeCell ref="L72:M72"/>
    <mergeCell ref="L73:M73"/>
    <mergeCell ref="L74:M74"/>
    <mergeCell ref="E76:E77"/>
    <mergeCell ref="L76:M76"/>
    <mergeCell ref="L77:M77"/>
    <mergeCell ref="L78:M78"/>
    <mergeCell ref="L79:M79"/>
    <mergeCell ref="D68:D74"/>
    <mergeCell ref="D76:D82"/>
    <mergeCell ref="B63:E63"/>
    <mergeCell ref="G63:H63"/>
    <mergeCell ref="G67:H67"/>
    <mergeCell ref="I67:J67"/>
    <mergeCell ref="K67:M67"/>
    <mergeCell ref="E68:E69"/>
    <mergeCell ref="L68:M68"/>
    <mergeCell ref="L69:M69"/>
    <mergeCell ref="L70:M70"/>
    <mergeCell ref="B58:E58"/>
    <mergeCell ref="G58:H58"/>
    <mergeCell ref="I58:J58"/>
    <mergeCell ref="K58:L58"/>
    <mergeCell ref="B62:E62"/>
    <mergeCell ref="G62:H62"/>
    <mergeCell ref="D50:H50"/>
    <mergeCell ref="D52:D56"/>
    <mergeCell ref="G52:G56"/>
    <mergeCell ref="G57:H57"/>
    <mergeCell ref="I57:J57"/>
    <mergeCell ref="K57:L57"/>
    <mergeCell ref="B4:B7"/>
    <mergeCell ref="D4:E4"/>
    <mergeCell ref="G4:H4"/>
    <mergeCell ref="J4:K4"/>
    <mergeCell ref="M4:N4"/>
    <mergeCell ref="P4:Q4"/>
    <mergeCell ref="D5:E5"/>
    <mergeCell ref="G5:H5"/>
    <mergeCell ref="J5:K5"/>
    <mergeCell ref="M5:N5"/>
    <mergeCell ref="C28:C46"/>
    <mergeCell ref="F28:F46"/>
    <mergeCell ref="I28:I46"/>
    <mergeCell ref="L28:L46"/>
    <mergeCell ref="O28:O46"/>
    <mergeCell ref="P5:Q5"/>
    <mergeCell ref="D7:E7"/>
    <mergeCell ref="G7:H7"/>
    <mergeCell ref="J7:K7"/>
    <mergeCell ref="M7:N7"/>
    <mergeCell ref="P7:Q7"/>
  </mergeCells>
  <conditionalFormatting sqref="C127:P135">
    <cfRule type="cellIs" dxfId="406" priority="12" operator="greaterThan">
      <formula>0</formula>
    </cfRule>
  </conditionalFormatting>
  <conditionalFormatting sqref="B8:B46">
    <cfRule type="colorScale" priority="11">
      <colorScale>
        <cfvo type="min"/>
        <cfvo type="percentile" val="50"/>
        <cfvo type="max"/>
        <color rgb="FF63BE7B"/>
        <color rgb="FFFFEB84"/>
        <color rgb="FFF8696B"/>
      </colorScale>
    </cfRule>
  </conditionalFormatting>
  <conditionalFormatting sqref="D8:D46">
    <cfRule type="colorScale" priority="10">
      <colorScale>
        <cfvo type="min"/>
        <cfvo type="percentile" val="50"/>
        <cfvo type="max"/>
        <color rgb="FF63BE7B"/>
        <color rgb="FFFFEB84"/>
        <color rgb="FFF8696B"/>
      </colorScale>
    </cfRule>
  </conditionalFormatting>
  <conditionalFormatting sqref="E8:E46">
    <cfRule type="colorScale" priority="9">
      <colorScale>
        <cfvo type="min"/>
        <cfvo type="percentile" val="50"/>
        <cfvo type="max"/>
        <color rgb="FF63BE7B"/>
        <color rgb="FFFFEB84"/>
        <color rgb="FFF8696B"/>
      </colorScale>
    </cfRule>
  </conditionalFormatting>
  <conditionalFormatting sqref="G8:G46">
    <cfRule type="colorScale" priority="8">
      <colorScale>
        <cfvo type="min"/>
        <cfvo type="percentile" val="50"/>
        <cfvo type="max"/>
        <color rgb="FF63BE7B"/>
        <color rgb="FFFFEB84"/>
        <color rgb="FFF8696B"/>
      </colorScale>
    </cfRule>
  </conditionalFormatting>
  <conditionalFormatting sqref="H8:H46">
    <cfRule type="colorScale" priority="7">
      <colorScale>
        <cfvo type="min"/>
        <cfvo type="percentile" val="50"/>
        <cfvo type="max"/>
        <color rgb="FF63BE7B"/>
        <color rgb="FFFFEB84"/>
        <color rgb="FFF8696B"/>
      </colorScale>
    </cfRule>
  </conditionalFormatting>
  <conditionalFormatting sqref="J8:J46">
    <cfRule type="colorScale" priority="6">
      <colorScale>
        <cfvo type="min"/>
        <cfvo type="percentile" val="50"/>
        <cfvo type="max"/>
        <color rgb="FF63BE7B"/>
        <color rgb="FFFFEB84"/>
        <color rgb="FFF8696B"/>
      </colorScale>
    </cfRule>
  </conditionalFormatting>
  <conditionalFormatting sqref="K8:K46">
    <cfRule type="colorScale" priority="5">
      <colorScale>
        <cfvo type="min"/>
        <cfvo type="percentile" val="50"/>
        <cfvo type="max"/>
        <color rgb="FF63BE7B"/>
        <color rgb="FFFFEB84"/>
        <color rgb="FFF8696B"/>
      </colorScale>
    </cfRule>
  </conditionalFormatting>
  <conditionalFormatting sqref="M8:M46">
    <cfRule type="colorScale" priority="4">
      <colorScale>
        <cfvo type="min"/>
        <cfvo type="percentile" val="50"/>
        <cfvo type="max"/>
        <color rgb="FF63BE7B"/>
        <color rgb="FFFFEB84"/>
        <color rgb="FFF8696B"/>
      </colorScale>
    </cfRule>
  </conditionalFormatting>
  <conditionalFormatting sqref="N8:N46">
    <cfRule type="colorScale" priority="3">
      <colorScale>
        <cfvo type="min"/>
        <cfvo type="percentile" val="50"/>
        <cfvo type="max"/>
        <color rgb="FF63BE7B"/>
        <color rgb="FFFFEB84"/>
        <color rgb="FFF8696B"/>
      </colorScale>
    </cfRule>
  </conditionalFormatting>
  <conditionalFormatting sqref="P8:P46">
    <cfRule type="colorScale" priority="2">
      <colorScale>
        <cfvo type="min"/>
        <cfvo type="percentile" val="50"/>
        <cfvo type="max"/>
        <color rgb="FF63BE7B"/>
        <color rgb="FFFFEB84"/>
        <color rgb="FFF8696B"/>
      </colorScale>
    </cfRule>
  </conditionalFormatting>
  <conditionalFormatting sqref="Q8:Q46">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7914-031F-43EF-81A1-950508616A18}">
  <sheetPr codeName="Tabelle14">
    <tabColor rgb="FFFFC000"/>
  </sheetPr>
  <dimension ref="A2:V606"/>
  <sheetViews>
    <sheetView workbookViewId="0"/>
  </sheetViews>
  <sheetFormatPr baseColWidth="10" defaultColWidth="11.44140625" defaultRowHeight="13.9" x14ac:dyDescent="0.25"/>
  <cols>
    <col min="1" max="1" width="3.33203125" style="73" customWidth="1"/>
    <col min="2" max="2" width="30.44140625" style="73" customWidth="1"/>
    <col min="3" max="3" width="10.5546875" style="73" bestFit="1" customWidth="1"/>
    <col min="4" max="5" width="15.6640625" style="73" customWidth="1"/>
    <col min="6" max="6" width="11.6640625" style="73" bestFit="1" customWidth="1"/>
    <col min="7" max="7" width="17" style="73" customWidth="1"/>
    <col min="8" max="8" width="15.6640625" style="73" customWidth="1"/>
    <col min="9" max="9" width="11.44140625" style="73" customWidth="1"/>
    <col min="10" max="11" width="15.6640625" style="73" customWidth="1"/>
    <col min="12" max="12" width="11.6640625" style="73" bestFit="1" customWidth="1"/>
    <col min="13" max="13" width="13.5546875" style="73" customWidth="1"/>
    <col min="14" max="14" width="15.6640625" style="73" customWidth="1"/>
    <col min="15" max="15" width="11.6640625" style="73" bestFit="1" customWidth="1"/>
    <col min="16" max="17" width="15.6640625" style="73" customWidth="1"/>
    <col min="18" max="19" width="11.44140625" style="73"/>
    <col min="20" max="20" width="49" style="73" bestFit="1" customWidth="1"/>
    <col min="21" max="21" width="27.44140625" style="73" bestFit="1" customWidth="1"/>
    <col min="22" max="22" width="98.88671875" style="73" customWidth="1"/>
    <col min="23" max="16384" width="11.44140625" style="73"/>
  </cols>
  <sheetData>
    <row r="2" spans="1:17" x14ac:dyDescent="0.25">
      <c r="B2" s="383" t="s">
        <v>494</v>
      </c>
    </row>
    <row r="3" spans="1:17" ht="14.55" thickBot="1" x14ac:dyDescent="0.3"/>
    <row r="4" spans="1:17" ht="14.55" x14ac:dyDescent="0.25">
      <c r="A4" s="465"/>
      <c r="B4" s="1195" t="s">
        <v>321</v>
      </c>
      <c r="C4" s="390"/>
      <c r="D4" s="1200" t="s">
        <v>322</v>
      </c>
      <c r="E4" s="1201"/>
      <c r="F4" s="390"/>
      <c r="G4" s="1200" t="s">
        <v>323</v>
      </c>
      <c r="H4" s="1201"/>
      <c r="I4" s="390"/>
      <c r="J4" s="1200" t="s">
        <v>324</v>
      </c>
      <c r="K4" s="1201"/>
      <c r="L4" s="390"/>
      <c r="M4" s="1200" t="s">
        <v>325</v>
      </c>
      <c r="N4" s="1201"/>
      <c r="O4" s="390"/>
      <c r="P4" s="1200" t="s">
        <v>326</v>
      </c>
      <c r="Q4" s="1201"/>
    </row>
    <row r="5" spans="1:17" ht="14.55" x14ac:dyDescent="0.25">
      <c r="A5" s="465"/>
      <c r="B5" s="1196"/>
      <c r="C5" s="390"/>
      <c r="D5" s="1202" t="s">
        <v>327</v>
      </c>
      <c r="E5" s="1203"/>
      <c r="F5" s="390"/>
      <c r="G5" s="1202" t="s">
        <v>328</v>
      </c>
      <c r="H5" s="1203"/>
      <c r="I5" s="390"/>
      <c r="J5" s="1202" t="s">
        <v>329</v>
      </c>
      <c r="K5" s="1203"/>
      <c r="L5" s="390"/>
      <c r="M5" s="1202" t="s">
        <v>330</v>
      </c>
      <c r="N5" s="1203"/>
      <c r="O5" s="390"/>
      <c r="P5" s="1202" t="s">
        <v>331</v>
      </c>
      <c r="Q5" s="1203"/>
    </row>
    <row r="6" spans="1:17" ht="14.55" x14ac:dyDescent="0.25">
      <c r="A6" s="465"/>
      <c r="B6" s="1196"/>
      <c r="C6" s="390"/>
      <c r="D6" s="388" t="s">
        <v>332</v>
      </c>
      <c r="E6" s="389" t="s">
        <v>333</v>
      </c>
      <c r="F6" s="390"/>
      <c r="G6" s="388" t="s">
        <v>332</v>
      </c>
      <c r="H6" s="389" t="s">
        <v>333</v>
      </c>
      <c r="I6" s="390"/>
      <c r="J6" s="388" t="s">
        <v>332</v>
      </c>
      <c r="K6" s="389" t="s">
        <v>333</v>
      </c>
      <c r="L6" s="390"/>
      <c r="M6" s="388" t="s">
        <v>332</v>
      </c>
      <c r="N6" s="389" t="s">
        <v>333</v>
      </c>
      <c r="O6" s="390"/>
      <c r="P6" s="388" t="s">
        <v>332</v>
      </c>
      <c r="Q6" s="389" t="s">
        <v>333</v>
      </c>
    </row>
    <row r="7" spans="1:17" ht="15.2" thickBot="1" x14ac:dyDescent="0.3">
      <c r="A7" s="465"/>
      <c r="B7" s="1197"/>
      <c r="C7" s="390"/>
      <c r="D7" s="1198" t="s">
        <v>3</v>
      </c>
      <c r="E7" s="1199"/>
      <c r="F7" s="390"/>
      <c r="G7" s="1198" t="s">
        <v>3</v>
      </c>
      <c r="H7" s="1199"/>
      <c r="I7" s="390"/>
      <c r="J7" s="1198" t="s">
        <v>3</v>
      </c>
      <c r="K7" s="1199"/>
      <c r="L7" s="390"/>
      <c r="M7" s="1198" t="s">
        <v>3</v>
      </c>
      <c r="N7" s="1199"/>
      <c r="O7" s="390"/>
      <c r="P7" s="1198" t="s">
        <v>3</v>
      </c>
      <c r="Q7" s="1199"/>
    </row>
    <row r="8" spans="1:17" ht="14.55" x14ac:dyDescent="0.25">
      <c r="A8" s="465"/>
      <c r="B8" s="519">
        <v>20000</v>
      </c>
      <c r="C8" s="398"/>
      <c r="D8" s="399">
        <v>3643</v>
      </c>
      <c r="E8" s="400">
        <v>4348</v>
      </c>
      <c r="F8" s="398"/>
      <c r="G8" s="399">
        <f>E8</f>
        <v>4348</v>
      </c>
      <c r="H8" s="400">
        <v>5229</v>
      </c>
      <c r="I8" s="398"/>
      <c r="J8" s="399">
        <f>H8</f>
        <v>5229</v>
      </c>
      <c r="K8" s="400">
        <v>6251</v>
      </c>
      <c r="L8" s="398"/>
      <c r="M8" s="399">
        <f>K8</f>
        <v>6251</v>
      </c>
      <c r="N8" s="400">
        <v>7403</v>
      </c>
      <c r="O8" s="398"/>
      <c r="P8" s="399">
        <f>N8</f>
        <v>7403</v>
      </c>
      <c r="Q8" s="400">
        <v>8108</v>
      </c>
    </row>
    <row r="9" spans="1:17" ht="14.55" x14ac:dyDescent="0.25">
      <c r="A9" s="465"/>
      <c r="B9" s="519">
        <v>25000</v>
      </c>
      <c r="C9" s="398"/>
      <c r="D9" s="402">
        <v>4406</v>
      </c>
      <c r="E9" s="403">
        <v>5259</v>
      </c>
      <c r="F9" s="398"/>
      <c r="G9" s="402">
        <f t="shared" ref="G9:G46" si="0">E9</f>
        <v>5259</v>
      </c>
      <c r="H9" s="403">
        <v>6325</v>
      </c>
      <c r="I9" s="398"/>
      <c r="J9" s="402">
        <f t="shared" ref="J9:J46" si="1">H9</f>
        <v>6325</v>
      </c>
      <c r="K9" s="403">
        <v>7888</v>
      </c>
      <c r="L9" s="398"/>
      <c r="M9" s="402">
        <f t="shared" ref="M9:M46" si="2">K9</f>
        <v>7888</v>
      </c>
      <c r="N9" s="403">
        <v>8954</v>
      </c>
      <c r="O9" s="398"/>
      <c r="P9" s="402">
        <f t="shared" ref="P9:P27" si="3">N9</f>
        <v>8954</v>
      </c>
      <c r="Q9" s="403">
        <v>9807</v>
      </c>
    </row>
    <row r="10" spans="1:17" ht="14.55" x14ac:dyDescent="0.25">
      <c r="A10" s="465"/>
      <c r="B10" s="519">
        <v>30000</v>
      </c>
      <c r="C10" s="398"/>
      <c r="D10" s="402">
        <v>5147</v>
      </c>
      <c r="E10" s="403">
        <v>6143</v>
      </c>
      <c r="F10" s="398"/>
      <c r="G10" s="402">
        <f t="shared" si="0"/>
        <v>6143</v>
      </c>
      <c r="H10" s="403">
        <v>7388</v>
      </c>
      <c r="I10" s="398"/>
      <c r="J10" s="402">
        <f t="shared" si="1"/>
        <v>7388</v>
      </c>
      <c r="K10" s="403">
        <v>9215</v>
      </c>
      <c r="L10" s="398"/>
      <c r="M10" s="402">
        <f t="shared" si="2"/>
        <v>9215</v>
      </c>
      <c r="N10" s="403">
        <v>10460</v>
      </c>
      <c r="O10" s="398"/>
      <c r="P10" s="402">
        <f t="shared" si="3"/>
        <v>10460</v>
      </c>
      <c r="Q10" s="403">
        <v>11456</v>
      </c>
    </row>
    <row r="11" spans="1:17" ht="14.55" x14ac:dyDescent="0.25">
      <c r="A11" s="465"/>
      <c r="B11" s="404">
        <v>35000</v>
      </c>
      <c r="C11" s="398"/>
      <c r="D11" s="402">
        <v>5870</v>
      </c>
      <c r="E11" s="403">
        <v>7006</v>
      </c>
      <c r="F11" s="398"/>
      <c r="G11" s="402">
        <f t="shared" si="0"/>
        <v>7006</v>
      </c>
      <c r="H11" s="403">
        <v>8426</v>
      </c>
      <c r="I11" s="398"/>
      <c r="J11" s="402">
        <f t="shared" si="1"/>
        <v>8426</v>
      </c>
      <c r="K11" s="403">
        <v>10508</v>
      </c>
      <c r="L11" s="398"/>
      <c r="M11" s="402">
        <f t="shared" si="2"/>
        <v>10508</v>
      </c>
      <c r="N11" s="403">
        <v>11928</v>
      </c>
      <c r="O11" s="398"/>
      <c r="P11" s="402">
        <f t="shared" si="3"/>
        <v>11928</v>
      </c>
      <c r="Q11" s="403">
        <v>13064</v>
      </c>
    </row>
    <row r="12" spans="1:17" ht="14.55" x14ac:dyDescent="0.25">
      <c r="A12" s="465"/>
      <c r="B12" s="404">
        <v>40000</v>
      </c>
      <c r="C12" s="398"/>
      <c r="D12" s="402">
        <v>6577</v>
      </c>
      <c r="E12" s="403">
        <v>7850</v>
      </c>
      <c r="F12" s="398"/>
      <c r="G12" s="402">
        <f t="shared" si="0"/>
        <v>7850</v>
      </c>
      <c r="H12" s="403">
        <v>9441</v>
      </c>
      <c r="I12" s="398"/>
      <c r="J12" s="402">
        <f t="shared" si="1"/>
        <v>9441</v>
      </c>
      <c r="K12" s="403">
        <v>11774</v>
      </c>
      <c r="L12" s="398"/>
      <c r="M12" s="402">
        <f t="shared" si="2"/>
        <v>11774</v>
      </c>
      <c r="N12" s="403">
        <v>13365</v>
      </c>
      <c r="O12" s="398"/>
      <c r="P12" s="402">
        <f t="shared" si="3"/>
        <v>13365</v>
      </c>
      <c r="Q12" s="403">
        <v>14638</v>
      </c>
    </row>
    <row r="13" spans="1:17" ht="14.55" x14ac:dyDescent="0.25">
      <c r="A13" s="465"/>
      <c r="B13" s="404">
        <v>50000</v>
      </c>
      <c r="C13" s="398"/>
      <c r="D13" s="402">
        <v>7953</v>
      </c>
      <c r="E13" s="403">
        <v>9492</v>
      </c>
      <c r="F13" s="398"/>
      <c r="G13" s="402">
        <f t="shared" si="0"/>
        <v>9492</v>
      </c>
      <c r="H13" s="403">
        <v>11416</v>
      </c>
      <c r="I13" s="398"/>
      <c r="J13" s="402">
        <f t="shared" si="1"/>
        <v>11416</v>
      </c>
      <c r="K13" s="403">
        <v>14238</v>
      </c>
      <c r="L13" s="398"/>
      <c r="M13" s="402">
        <f t="shared" si="2"/>
        <v>14238</v>
      </c>
      <c r="N13" s="403">
        <v>16162</v>
      </c>
      <c r="O13" s="398"/>
      <c r="P13" s="402">
        <f t="shared" si="3"/>
        <v>16162</v>
      </c>
      <c r="Q13" s="403">
        <v>17701</v>
      </c>
    </row>
    <row r="14" spans="1:17" ht="14.55" x14ac:dyDescent="0.25">
      <c r="A14" s="465"/>
      <c r="B14" s="404">
        <v>60000</v>
      </c>
      <c r="C14" s="398"/>
      <c r="D14" s="402">
        <v>9287</v>
      </c>
      <c r="E14" s="403">
        <v>11085</v>
      </c>
      <c r="F14" s="398"/>
      <c r="G14" s="402">
        <f t="shared" si="0"/>
        <v>11085</v>
      </c>
      <c r="H14" s="403">
        <v>13332</v>
      </c>
      <c r="I14" s="398"/>
      <c r="J14" s="402">
        <f t="shared" si="1"/>
        <v>13332</v>
      </c>
      <c r="K14" s="403">
        <v>16627</v>
      </c>
      <c r="L14" s="398"/>
      <c r="M14" s="402">
        <f t="shared" si="2"/>
        <v>16627</v>
      </c>
      <c r="N14" s="403">
        <v>18874</v>
      </c>
      <c r="O14" s="398"/>
      <c r="P14" s="402">
        <f t="shared" si="3"/>
        <v>18874</v>
      </c>
      <c r="Q14" s="403">
        <v>20672</v>
      </c>
    </row>
    <row r="15" spans="1:17" ht="14.55" x14ac:dyDescent="0.25">
      <c r="A15" s="465"/>
      <c r="B15" s="404">
        <v>75000</v>
      </c>
      <c r="C15" s="398"/>
      <c r="D15" s="402">
        <v>11227</v>
      </c>
      <c r="E15" s="403">
        <v>13400</v>
      </c>
      <c r="F15" s="398"/>
      <c r="G15" s="402">
        <f t="shared" si="0"/>
        <v>13400</v>
      </c>
      <c r="H15" s="403">
        <v>16116</v>
      </c>
      <c r="I15" s="398"/>
      <c r="J15" s="402">
        <f t="shared" si="1"/>
        <v>16116</v>
      </c>
      <c r="K15" s="403">
        <v>20100</v>
      </c>
      <c r="L15" s="398"/>
      <c r="M15" s="402">
        <f t="shared" si="2"/>
        <v>20100</v>
      </c>
      <c r="N15" s="403">
        <v>22816</v>
      </c>
      <c r="O15" s="398"/>
      <c r="P15" s="402">
        <f t="shared" si="3"/>
        <v>22816</v>
      </c>
      <c r="Q15" s="403">
        <v>24989</v>
      </c>
    </row>
    <row r="16" spans="1:17" ht="14.55" x14ac:dyDescent="0.25">
      <c r="A16" s="465"/>
      <c r="B16" s="404">
        <v>100000</v>
      </c>
      <c r="C16" s="398"/>
      <c r="D16" s="402">
        <v>14332</v>
      </c>
      <c r="E16" s="403">
        <v>17106</v>
      </c>
      <c r="F16" s="398"/>
      <c r="G16" s="402">
        <f t="shared" si="0"/>
        <v>17106</v>
      </c>
      <c r="H16" s="403">
        <v>20574</v>
      </c>
      <c r="I16" s="398"/>
      <c r="J16" s="402">
        <f t="shared" si="1"/>
        <v>20574</v>
      </c>
      <c r="K16" s="403">
        <v>25659</v>
      </c>
      <c r="L16" s="398"/>
      <c r="M16" s="402">
        <f t="shared" si="2"/>
        <v>25659</v>
      </c>
      <c r="N16" s="403">
        <v>29127</v>
      </c>
      <c r="O16" s="398"/>
      <c r="P16" s="402">
        <f t="shared" si="3"/>
        <v>29127</v>
      </c>
      <c r="Q16" s="403">
        <v>31901</v>
      </c>
    </row>
    <row r="17" spans="1:19" ht="14.55" x14ac:dyDescent="0.25">
      <c r="A17" s="465"/>
      <c r="B17" s="404">
        <v>125000</v>
      </c>
      <c r="C17" s="398"/>
      <c r="D17" s="402">
        <v>17315</v>
      </c>
      <c r="E17" s="403">
        <v>20666</v>
      </c>
      <c r="F17" s="398"/>
      <c r="G17" s="402">
        <f t="shared" si="0"/>
        <v>20666</v>
      </c>
      <c r="H17" s="403">
        <v>24855</v>
      </c>
      <c r="I17" s="398"/>
      <c r="J17" s="402">
        <f t="shared" si="1"/>
        <v>24855</v>
      </c>
      <c r="K17" s="403">
        <v>30999</v>
      </c>
      <c r="L17" s="398"/>
      <c r="M17" s="402">
        <f t="shared" si="2"/>
        <v>30999</v>
      </c>
      <c r="N17" s="403">
        <v>35188</v>
      </c>
      <c r="O17" s="398"/>
      <c r="P17" s="402">
        <f t="shared" si="3"/>
        <v>35188</v>
      </c>
      <c r="Q17" s="403">
        <v>38539</v>
      </c>
    </row>
    <row r="18" spans="1:19" ht="14.55" x14ac:dyDescent="0.25">
      <c r="A18" s="465"/>
      <c r="B18" s="404">
        <v>150000</v>
      </c>
      <c r="C18" s="398"/>
      <c r="D18" s="402">
        <v>20201</v>
      </c>
      <c r="E18" s="403">
        <v>24111</v>
      </c>
      <c r="F18" s="398"/>
      <c r="G18" s="402">
        <f t="shared" si="0"/>
        <v>24111</v>
      </c>
      <c r="H18" s="403">
        <v>28998</v>
      </c>
      <c r="I18" s="398"/>
      <c r="J18" s="402">
        <f t="shared" si="1"/>
        <v>28998</v>
      </c>
      <c r="K18" s="403">
        <v>36166</v>
      </c>
      <c r="L18" s="398"/>
      <c r="M18" s="402">
        <f t="shared" si="2"/>
        <v>36166</v>
      </c>
      <c r="N18" s="403">
        <v>41053</v>
      </c>
      <c r="O18" s="398"/>
      <c r="P18" s="402">
        <f t="shared" si="3"/>
        <v>41053</v>
      </c>
      <c r="Q18" s="403">
        <v>44963</v>
      </c>
    </row>
    <row r="19" spans="1:19" ht="14.55" x14ac:dyDescent="0.25">
      <c r="A19" s="465"/>
      <c r="B19" s="404">
        <v>200000</v>
      </c>
      <c r="C19" s="398"/>
      <c r="D19" s="402">
        <v>25746</v>
      </c>
      <c r="E19" s="403">
        <v>30729</v>
      </c>
      <c r="F19" s="398"/>
      <c r="G19" s="402">
        <f t="shared" si="0"/>
        <v>30729</v>
      </c>
      <c r="H19" s="403">
        <v>36958</v>
      </c>
      <c r="I19" s="398"/>
      <c r="J19" s="402">
        <f t="shared" si="1"/>
        <v>36958</v>
      </c>
      <c r="K19" s="403">
        <v>46094</v>
      </c>
      <c r="L19" s="398"/>
      <c r="M19" s="402">
        <f t="shared" si="2"/>
        <v>46094</v>
      </c>
      <c r="N19" s="403">
        <v>52323</v>
      </c>
      <c r="O19" s="398"/>
      <c r="P19" s="402">
        <f t="shared" si="3"/>
        <v>52323</v>
      </c>
      <c r="Q19" s="403">
        <v>57306</v>
      </c>
    </row>
    <row r="20" spans="1:19" ht="14.55" x14ac:dyDescent="0.25">
      <c r="A20" s="465"/>
      <c r="B20" s="404">
        <v>250000</v>
      </c>
      <c r="C20" s="398"/>
      <c r="D20" s="402">
        <v>31053</v>
      </c>
      <c r="E20" s="403">
        <v>37063</v>
      </c>
      <c r="F20" s="398"/>
      <c r="G20" s="402">
        <f t="shared" si="0"/>
        <v>37063</v>
      </c>
      <c r="H20" s="403">
        <v>44576</v>
      </c>
      <c r="I20" s="398"/>
      <c r="J20" s="402">
        <f t="shared" si="1"/>
        <v>44576</v>
      </c>
      <c r="K20" s="403">
        <v>55594</v>
      </c>
      <c r="L20" s="398"/>
      <c r="M20" s="402">
        <f t="shared" si="2"/>
        <v>55594</v>
      </c>
      <c r="N20" s="403">
        <v>63107</v>
      </c>
      <c r="O20" s="398"/>
      <c r="P20" s="402">
        <f t="shared" si="3"/>
        <v>63107</v>
      </c>
      <c r="Q20" s="403">
        <v>69117</v>
      </c>
    </row>
    <row r="21" spans="1:19" ht="14.55" x14ac:dyDescent="0.25">
      <c r="A21" s="465"/>
      <c r="B21" s="404">
        <v>350000</v>
      </c>
      <c r="C21" s="398"/>
      <c r="D21" s="402">
        <v>41147</v>
      </c>
      <c r="E21" s="403">
        <v>49111</v>
      </c>
      <c r="F21" s="398"/>
      <c r="G21" s="402">
        <f t="shared" si="0"/>
        <v>49111</v>
      </c>
      <c r="H21" s="403">
        <v>59066</v>
      </c>
      <c r="I21" s="398"/>
      <c r="J21" s="402">
        <f t="shared" si="1"/>
        <v>59066</v>
      </c>
      <c r="K21" s="403">
        <v>73667</v>
      </c>
      <c r="L21" s="398"/>
      <c r="M21" s="402">
        <f t="shared" si="2"/>
        <v>73667</v>
      </c>
      <c r="N21" s="403">
        <v>83622</v>
      </c>
      <c r="O21" s="398"/>
      <c r="P21" s="402">
        <f t="shared" si="3"/>
        <v>83622</v>
      </c>
      <c r="Q21" s="403">
        <v>91586</v>
      </c>
    </row>
    <row r="22" spans="1:19" ht="14.55" x14ac:dyDescent="0.25">
      <c r="A22" s="465"/>
      <c r="B22" s="404">
        <v>500000</v>
      </c>
      <c r="C22" s="398"/>
      <c r="D22" s="402">
        <v>55300</v>
      </c>
      <c r="E22" s="403">
        <v>66004</v>
      </c>
      <c r="F22" s="398"/>
      <c r="G22" s="402">
        <f t="shared" si="0"/>
        <v>66004</v>
      </c>
      <c r="H22" s="403">
        <v>79383</v>
      </c>
      <c r="I22" s="398"/>
      <c r="J22" s="402">
        <f t="shared" si="1"/>
        <v>79383</v>
      </c>
      <c r="K22" s="403">
        <v>99006</v>
      </c>
      <c r="L22" s="398"/>
      <c r="M22" s="402">
        <f t="shared" si="2"/>
        <v>99006</v>
      </c>
      <c r="N22" s="403">
        <v>112385</v>
      </c>
      <c r="O22" s="398"/>
      <c r="P22" s="402">
        <f t="shared" si="3"/>
        <v>112385</v>
      </c>
      <c r="Q22" s="403">
        <v>123088</v>
      </c>
    </row>
    <row r="23" spans="1:19" ht="14.55" x14ac:dyDescent="0.25">
      <c r="A23" s="465"/>
      <c r="B23" s="404">
        <v>650000</v>
      </c>
      <c r="C23" s="398"/>
      <c r="D23" s="402">
        <v>69114</v>
      </c>
      <c r="E23" s="403">
        <v>82491</v>
      </c>
      <c r="F23" s="398"/>
      <c r="G23" s="402">
        <f t="shared" si="0"/>
        <v>82491</v>
      </c>
      <c r="H23" s="403">
        <v>99212</v>
      </c>
      <c r="I23" s="398"/>
      <c r="J23" s="402">
        <f t="shared" si="1"/>
        <v>99212</v>
      </c>
      <c r="K23" s="403">
        <v>123736</v>
      </c>
      <c r="L23" s="398"/>
      <c r="M23" s="402">
        <f t="shared" si="2"/>
        <v>123736</v>
      </c>
      <c r="N23" s="403">
        <v>140457</v>
      </c>
      <c r="O23" s="398"/>
      <c r="P23" s="402">
        <f t="shared" si="3"/>
        <v>140457</v>
      </c>
      <c r="Q23" s="403">
        <v>153834</v>
      </c>
    </row>
    <row r="24" spans="1:19" ht="14.55" x14ac:dyDescent="0.25">
      <c r="A24" s="465"/>
      <c r="B24" s="404">
        <v>800000</v>
      </c>
      <c r="C24" s="398"/>
      <c r="D24" s="402">
        <v>82430</v>
      </c>
      <c r="E24" s="403">
        <v>98384</v>
      </c>
      <c r="F24" s="398"/>
      <c r="G24" s="402">
        <f t="shared" si="0"/>
        <v>98384</v>
      </c>
      <c r="H24" s="403">
        <v>118326</v>
      </c>
      <c r="I24" s="398"/>
      <c r="J24" s="402">
        <f t="shared" si="1"/>
        <v>118326</v>
      </c>
      <c r="K24" s="403">
        <v>147576</v>
      </c>
      <c r="L24" s="398"/>
      <c r="M24" s="402">
        <f t="shared" si="2"/>
        <v>147576</v>
      </c>
      <c r="N24" s="403">
        <v>167518</v>
      </c>
      <c r="O24" s="398"/>
      <c r="P24" s="402">
        <f t="shared" si="3"/>
        <v>167518</v>
      </c>
      <c r="Q24" s="403">
        <v>183472</v>
      </c>
    </row>
    <row r="25" spans="1:19" ht="14.55" x14ac:dyDescent="0.25">
      <c r="A25" s="465"/>
      <c r="B25" s="404">
        <v>1000000</v>
      </c>
      <c r="C25" s="398"/>
      <c r="D25" s="402">
        <v>99578</v>
      </c>
      <c r="E25" s="403">
        <v>118851</v>
      </c>
      <c r="F25" s="398"/>
      <c r="G25" s="402">
        <f t="shared" si="0"/>
        <v>118851</v>
      </c>
      <c r="H25" s="403">
        <v>142942</v>
      </c>
      <c r="I25" s="398"/>
      <c r="J25" s="402">
        <f t="shared" si="1"/>
        <v>142942</v>
      </c>
      <c r="K25" s="403">
        <v>178276</v>
      </c>
      <c r="L25" s="398"/>
      <c r="M25" s="402">
        <f t="shared" si="2"/>
        <v>178276</v>
      </c>
      <c r="N25" s="403">
        <v>202368</v>
      </c>
      <c r="O25" s="398"/>
      <c r="P25" s="402">
        <f t="shared" si="3"/>
        <v>202368</v>
      </c>
      <c r="Q25" s="403">
        <v>221641</v>
      </c>
    </row>
    <row r="26" spans="1:19" ht="14.55" x14ac:dyDescent="0.25">
      <c r="A26" s="465"/>
      <c r="B26" s="404">
        <v>1250000</v>
      </c>
      <c r="C26" s="398"/>
      <c r="D26" s="402">
        <v>120238</v>
      </c>
      <c r="E26" s="403">
        <v>143510</v>
      </c>
      <c r="F26" s="398"/>
      <c r="G26" s="402">
        <f t="shared" si="0"/>
        <v>143510</v>
      </c>
      <c r="H26" s="403">
        <v>172600</v>
      </c>
      <c r="I26" s="398"/>
      <c r="J26" s="402">
        <f t="shared" si="1"/>
        <v>172600</v>
      </c>
      <c r="K26" s="403">
        <v>215265</v>
      </c>
      <c r="L26" s="398"/>
      <c r="M26" s="402">
        <f t="shared" si="2"/>
        <v>215265</v>
      </c>
      <c r="N26" s="403">
        <v>244355</v>
      </c>
      <c r="O26" s="398"/>
      <c r="P26" s="402">
        <f t="shared" si="3"/>
        <v>244355</v>
      </c>
      <c r="Q26" s="403">
        <v>267627</v>
      </c>
    </row>
    <row r="27" spans="1:19" ht="15.2" thickBot="1" x14ac:dyDescent="0.3">
      <c r="A27" s="465"/>
      <c r="B27" s="404">
        <v>1500000</v>
      </c>
      <c r="C27" s="398"/>
      <c r="D27" s="402">
        <v>140204</v>
      </c>
      <c r="E27" s="403">
        <v>167340</v>
      </c>
      <c r="F27" s="398"/>
      <c r="G27" s="402">
        <f t="shared" si="0"/>
        <v>167340</v>
      </c>
      <c r="H27" s="403">
        <v>201261</v>
      </c>
      <c r="I27" s="398"/>
      <c r="J27" s="402">
        <f t="shared" si="1"/>
        <v>201261</v>
      </c>
      <c r="K27" s="403">
        <v>251011</v>
      </c>
      <c r="L27" s="398"/>
      <c r="M27" s="402">
        <f t="shared" si="2"/>
        <v>251011</v>
      </c>
      <c r="N27" s="403">
        <v>284931</v>
      </c>
      <c r="O27" s="398"/>
      <c r="P27" s="402">
        <f t="shared" si="3"/>
        <v>284931</v>
      </c>
      <c r="Q27" s="403">
        <v>312067</v>
      </c>
    </row>
    <row r="28" spans="1:19" ht="14.55" x14ac:dyDescent="0.25">
      <c r="A28" s="465"/>
      <c r="B28" s="404">
        <v>2000000</v>
      </c>
      <c r="C28" s="1255" t="s">
        <v>334</v>
      </c>
      <c r="D28" s="402">
        <v>178748</v>
      </c>
      <c r="E28" s="403">
        <v>213344</v>
      </c>
      <c r="F28" s="1255" t="s">
        <v>334</v>
      </c>
      <c r="G28" s="402">
        <f t="shared" si="0"/>
        <v>213344</v>
      </c>
      <c r="H28" s="403">
        <v>256589</v>
      </c>
      <c r="I28" s="1255" t="s">
        <v>334</v>
      </c>
      <c r="J28" s="402">
        <f t="shared" si="1"/>
        <v>256589</v>
      </c>
      <c r="K28" s="403">
        <v>320016</v>
      </c>
      <c r="L28" s="1255" t="s">
        <v>334</v>
      </c>
      <c r="M28" s="402">
        <f t="shared" si="2"/>
        <v>320016</v>
      </c>
      <c r="N28" s="403">
        <v>363261</v>
      </c>
      <c r="O28" s="1255" t="s">
        <v>334</v>
      </c>
      <c r="P28" s="402">
        <f>N28</f>
        <v>363261</v>
      </c>
      <c r="Q28" s="403">
        <v>363261</v>
      </c>
      <c r="S28" s="522"/>
    </row>
    <row r="29" spans="1:19" ht="14.55" x14ac:dyDescent="0.25">
      <c r="A29" s="465"/>
      <c r="B29" s="404">
        <v>2500000</v>
      </c>
      <c r="C29" s="1256"/>
      <c r="D29" s="402">
        <v>215801</v>
      </c>
      <c r="E29" s="403">
        <v>257569</v>
      </c>
      <c r="F29" s="1256"/>
      <c r="G29" s="402">
        <f t="shared" si="0"/>
        <v>257569</v>
      </c>
      <c r="H29" s="403">
        <v>309780</v>
      </c>
      <c r="I29" s="1256"/>
      <c r="J29" s="402">
        <f t="shared" si="1"/>
        <v>309780</v>
      </c>
      <c r="K29" s="403">
        <v>386354</v>
      </c>
      <c r="L29" s="1256"/>
      <c r="M29" s="402">
        <f t="shared" si="2"/>
        <v>386354</v>
      </c>
      <c r="N29" s="403">
        <v>438564</v>
      </c>
      <c r="O29" s="1256"/>
      <c r="P29" s="402">
        <f t="shared" ref="P29:P46" si="4">N29</f>
        <v>438564</v>
      </c>
      <c r="Q29" s="403">
        <v>438564</v>
      </c>
      <c r="S29" s="522"/>
    </row>
    <row r="30" spans="1:19" ht="14.55" x14ac:dyDescent="0.25">
      <c r="A30" s="465"/>
      <c r="B30" s="404">
        <v>3000000</v>
      </c>
      <c r="C30" s="1256"/>
      <c r="D30" s="402">
        <v>251710</v>
      </c>
      <c r="E30" s="403">
        <v>300428</v>
      </c>
      <c r="F30" s="1256"/>
      <c r="G30" s="402">
        <f t="shared" si="0"/>
        <v>300428</v>
      </c>
      <c r="H30" s="403">
        <v>361326</v>
      </c>
      <c r="I30" s="1256"/>
      <c r="J30" s="402">
        <f t="shared" si="1"/>
        <v>361326</v>
      </c>
      <c r="K30" s="403">
        <v>450642</v>
      </c>
      <c r="L30" s="1256"/>
      <c r="M30" s="402">
        <f t="shared" si="2"/>
        <v>450642</v>
      </c>
      <c r="N30" s="403">
        <v>511540</v>
      </c>
      <c r="O30" s="1256"/>
      <c r="P30" s="402">
        <f t="shared" si="4"/>
        <v>511540</v>
      </c>
      <c r="Q30" s="403">
        <v>511540</v>
      </c>
      <c r="S30" s="522"/>
    </row>
    <row r="31" spans="1:19" ht="14.55" x14ac:dyDescent="0.25">
      <c r="A31" s="465"/>
      <c r="B31" s="404">
        <v>4000000</v>
      </c>
      <c r="C31" s="1256"/>
      <c r="D31" s="402">
        <v>320904</v>
      </c>
      <c r="E31" s="403">
        <v>383014</v>
      </c>
      <c r="F31" s="1256"/>
      <c r="G31" s="402">
        <f t="shared" si="0"/>
        <v>383014</v>
      </c>
      <c r="H31" s="403">
        <v>460652</v>
      </c>
      <c r="I31" s="1256"/>
      <c r="J31" s="402">
        <f t="shared" si="1"/>
        <v>460652</v>
      </c>
      <c r="K31" s="403">
        <v>574522</v>
      </c>
      <c r="L31" s="1256"/>
      <c r="M31" s="402">
        <f t="shared" si="2"/>
        <v>574522</v>
      </c>
      <c r="N31" s="403">
        <v>652160</v>
      </c>
      <c r="O31" s="1256"/>
      <c r="P31" s="402">
        <f t="shared" si="4"/>
        <v>652160</v>
      </c>
      <c r="Q31" s="403">
        <v>652160</v>
      </c>
      <c r="S31" s="522"/>
    </row>
    <row r="32" spans="1:19" ht="14.55" x14ac:dyDescent="0.25">
      <c r="A32" s="465"/>
      <c r="B32" s="404">
        <v>5000000</v>
      </c>
      <c r="C32" s="1256"/>
      <c r="D32" s="402">
        <v>387424</v>
      </c>
      <c r="E32" s="403">
        <v>462409</v>
      </c>
      <c r="F32" s="1256"/>
      <c r="G32" s="402">
        <f t="shared" si="0"/>
        <v>462409</v>
      </c>
      <c r="H32" s="403">
        <v>556140</v>
      </c>
      <c r="I32" s="1256"/>
      <c r="J32" s="402">
        <f t="shared" si="1"/>
        <v>556140</v>
      </c>
      <c r="K32" s="403">
        <v>693613</v>
      </c>
      <c r="L32" s="1256"/>
      <c r="M32" s="402">
        <f t="shared" si="2"/>
        <v>693613</v>
      </c>
      <c r="N32" s="403">
        <v>787345</v>
      </c>
      <c r="O32" s="1256"/>
      <c r="P32" s="402">
        <f t="shared" si="4"/>
        <v>787345</v>
      </c>
      <c r="Q32" s="403">
        <v>787345</v>
      </c>
      <c r="S32" s="522"/>
    </row>
    <row r="33" spans="1:19" ht="14.55" x14ac:dyDescent="0.25">
      <c r="A33" s="465"/>
      <c r="B33" s="404">
        <v>7500000</v>
      </c>
      <c r="C33" s="1256"/>
      <c r="D33" s="402">
        <v>545556</v>
      </c>
      <c r="E33" s="403">
        <v>651147</v>
      </c>
      <c r="F33" s="1256"/>
      <c r="G33" s="402">
        <f t="shared" si="0"/>
        <v>651147</v>
      </c>
      <c r="H33" s="403">
        <v>783136</v>
      </c>
      <c r="I33" s="1256"/>
      <c r="J33" s="402">
        <f t="shared" si="1"/>
        <v>783136</v>
      </c>
      <c r="K33" s="403">
        <v>976721</v>
      </c>
      <c r="L33" s="1256"/>
      <c r="M33" s="402">
        <f t="shared" si="2"/>
        <v>976721</v>
      </c>
      <c r="N33" s="403">
        <v>1108710</v>
      </c>
      <c r="O33" s="1256"/>
      <c r="P33" s="402">
        <f t="shared" si="4"/>
        <v>1108710</v>
      </c>
      <c r="Q33" s="403">
        <v>1108710</v>
      </c>
      <c r="S33" s="522"/>
    </row>
    <row r="34" spans="1:19" ht="14.55" x14ac:dyDescent="0.25">
      <c r="A34" s="465"/>
      <c r="B34" s="404">
        <v>10000000</v>
      </c>
      <c r="C34" s="1256"/>
      <c r="D34" s="402">
        <v>695517</v>
      </c>
      <c r="E34" s="403">
        <v>830133</v>
      </c>
      <c r="F34" s="1256"/>
      <c r="G34" s="402">
        <f t="shared" si="0"/>
        <v>830133</v>
      </c>
      <c r="H34" s="403">
        <v>998404</v>
      </c>
      <c r="I34" s="1256"/>
      <c r="J34" s="402">
        <f t="shared" si="1"/>
        <v>998404</v>
      </c>
      <c r="K34" s="403">
        <v>1245200</v>
      </c>
      <c r="L34" s="1256"/>
      <c r="M34" s="402">
        <f t="shared" si="2"/>
        <v>1245200</v>
      </c>
      <c r="N34" s="403">
        <v>1413471</v>
      </c>
      <c r="O34" s="1256"/>
      <c r="P34" s="402">
        <f t="shared" si="4"/>
        <v>1413471</v>
      </c>
      <c r="Q34" s="403">
        <v>1413471</v>
      </c>
      <c r="S34" s="522"/>
    </row>
    <row r="35" spans="1:19" ht="14.55" x14ac:dyDescent="0.25">
      <c r="A35" s="465"/>
      <c r="B35" s="404">
        <v>12500000</v>
      </c>
      <c r="C35" s="1256"/>
      <c r="D35" s="402">
        <v>839681</v>
      </c>
      <c r="E35" s="403">
        <v>1002200</v>
      </c>
      <c r="F35" s="1256"/>
      <c r="G35" s="402">
        <f t="shared" si="0"/>
        <v>1002200</v>
      </c>
      <c r="H35" s="403">
        <v>1205349</v>
      </c>
      <c r="I35" s="1256"/>
      <c r="J35" s="402">
        <f t="shared" si="1"/>
        <v>1205349</v>
      </c>
      <c r="K35" s="403">
        <v>1503300</v>
      </c>
      <c r="L35" s="1256"/>
      <c r="M35" s="402">
        <f t="shared" si="2"/>
        <v>1503300</v>
      </c>
      <c r="N35" s="403">
        <v>1706449</v>
      </c>
      <c r="O35" s="1256"/>
      <c r="P35" s="402">
        <f t="shared" si="4"/>
        <v>1706449</v>
      </c>
      <c r="Q35" s="403">
        <v>1706446</v>
      </c>
      <c r="S35" s="522"/>
    </row>
    <row r="36" spans="1:19" ht="14.55" x14ac:dyDescent="0.25">
      <c r="A36" s="465"/>
      <c r="B36" s="404">
        <v>15000000</v>
      </c>
      <c r="C36" s="1256"/>
      <c r="D36" s="402">
        <v>979387</v>
      </c>
      <c r="E36" s="403">
        <v>1168946</v>
      </c>
      <c r="F36" s="1256"/>
      <c r="G36" s="402">
        <f t="shared" si="0"/>
        <v>1168946</v>
      </c>
      <c r="H36" s="403">
        <v>1405895</v>
      </c>
      <c r="I36" s="1256"/>
      <c r="J36" s="402">
        <f t="shared" si="1"/>
        <v>1405895</v>
      </c>
      <c r="K36" s="403">
        <v>1753419</v>
      </c>
      <c r="L36" s="1256"/>
      <c r="M36" s="402">
        <f t="shared" si="2"/>
        <v>1753419</v>
      </c>
      <c r="N36" s="403">
        <v>1990368</v>
      </c>
      <c r="O36" s="1256"/>
      <c r="P36" s="402">
        <f t="shared" si="4"/>
        <v>1990368</v>
      </c>
      <c r="Q36" s="403">
        <v>1990368</v>
      </c>
      <c r="S36" s="522"/>
    </row>
    <row r="37" spans="1:19" ht="14.55" x14ac:dyDescent="0.25">
      <c r="A37" s="465"/>
      <c r="B37" s="404">
        <v>20000000</v>
      </c>
      <c r="C37" s="1256"/>
      <c r="D37" s="402">
        <v>1248586</v>
      </c>
      <c r="E37" s="403">
        <v>1490248</v>
      </c>
      <c r="F37" s="1256"/>
      <c r="G37" s="402">
        <f t="shared" si="0"/>
        <v>1490248</v>
      </c>
      <c r="H37" s="403">
        <v>1792325</v>
      </c>
      <c r="I37" s="1256"/>
      <c r="J37" s="402">
        <f t="shared" si="1"/>
        <v>1792325</v>
      </c>
      <c r="K37" s="403">
        <v>2235372</v>
      </c>
      <c r="L37" s="1256"/>
      <c r="M37" s="402">
        <f t="shared" si="2"/>
        <v>2235372</v>
      </c>
      <c r="N37" s="403">
        <v>2537449</v>
      </c>
      <c r="O37" s="1256"/>
      <c r="P37" s="402">
        <f t="shared" si="4"/>
        <v>2537449</v>
      </c>
      <c r="Q37" s="403">
        <v>2537449</v>
      </c>
      <c r="S37" s="522"/>
    </row>
    <row r="38" spans="1:19" ht="14.55" x14ac:dyDescent="0.25">
      <c r="A38" s="465"/>
      <c r="B38" s="404">
        <v>25000000</v>
      </c>
      <c r="C38" s="1256"/>
      <c r="D38" s="402">
        <v>1507375</v>
      </c>
      <c r="E38" s="403">
        <v>1799125</v>
      </c>
      <c r="F38" s="1256"/>
      <c r="G38" s="402">
        <f t="shared" si="0"/>
        <v>1799125</v>
      </c>
      <c r="H38" s="403">
        <v>2163812</v>
      </c>
      <c r="I38" s="1256"/>
      <c r="J38" s="402">
        <f t="shared" si="1"/>
        <v>2163812</v>
      </c>
      <c r="K38" s="403">
        <v>2698687</v>
      </c>
      <c r="L38" s="1256"/>
      <c r="M38" s="402">
        <f t="shared" si="2"/>
        <v>2698687</v>
      </c>
      <c r="N38" s="403">
        <v>3063374</v>
      </c>
      <c r="O38" s="1256"/>
      <c r="P38" s="402">
        <f t="shared" si="4"/>
        <v>3063374</v>
      </c>
      <c r="Q38" s="403">
        <v>3063374</v>
      </c>
      <c r="S38" s="522"/>
    </row>
    <row r="39" spans="1:19" ht="14.55" x14ac:dyDescent="0.25">
      <c r="A39" s="465"/>
      <c r="B39" s="404">
        <v>30000000</v>
      </c>
      <c r="C39" s="1256"/>
      <c r="D39" s="402">
        <v>1758158</v>
      </c>
      <c r="E39" s="403">
        <v>2098447</v>
      </c>
      <c r="F39" s="1256"/>
      <c r="G39" s="402">
        <f t="shared" si="0"/>
        <v>2098447</v>
      </c>
      <c r="H39" s="403">
        <v>2523807</v>
      </c>
      <c r="I39" s="1256"/>
      <c r="J39" s="402">
        <f t="shared" si="1"/>
        <v>2523807</v>
      </c>
      <c r="K39" s="403">
        <v>3147670</v>
      </c>
      <c r="L39" s="1256"/>
      <c r="M39" s="402">
        <f t="shared" si="2"/>
        <v>3147670</v>
      </c>
      <c r="N39" s="403">
        <v>3573031</v>
      </c>
      <c r="O39" s="1256"/>
      <c r="P39" s="402">
        <f t="shared" si="4"/>
        <v>3573031</v>
      </c>
      <c r="Q39" s="403">
        <v>3573031</v>
      </c>
      <c r="S39" s="522"/>
    </row>
    <row r="40" spans="1:19" ht="14.55" x14ac:dyDescent="0.25">
      <c r="A40" s="465"/>
      <c r="B40" s="404">
        <v>40000000</v>
      </c>
      <c r="C40" s="1256"/>
      <c r="D40" s="402">
        <v>2241385</v>
      </c>
      <c r="E40" s="403">
        <v>2675202</v>
      </c>
      <c r="F40" s="1256"/>
      <c r="G40" s="402">
        <f t="shared" si="0"/>
        <v>2675202</v>
      </c>
      <c r="H40" s="403">
        <v>3217473</v>
      </c>
      <c r="I40" s="1256"/>
      <c r="J40" s="402">
        <f t="shared" si="1"/>
        <v>3217473</v>
      </c>
      <c r="K40" s="403">
        <v>4012803</v>
      </c>
      <c r="L40" s="1256"/>
      <c r="M40" s="402">
        <f t="shared" si="2"/>
        <v>4012803</v>
      </c>
      <c r="N40" s="403">
        <v>4555074</v>
      </c>
      <c r="O40" s="1256"/>
      <c r="P40" s="402">
        <f t="shared" si="4"/>
        <v>4555074</v>
      </c>
      <c r="Q40" s="403">
        <v>4555074</v>
      </c>
      <c r="S40" s="522"/>
    </row>
    <row r="41" spans="1:19" ht="14.55" x14ac:dyDescent="0.25">
      <c r="A41" s="465"/>
      <c r="B41" s="404">
        <v>50000000</v>
      </c>
      <c r="C41" s="1256"/>
      <c r="D41" s="402">
        <v>2705920</v>
      </c>
      <c r="E41" s="403">
        <v>3229647</v>
      </c>
      <c r="F41" s="1256"/>
      <c r="G41" s="402">
        <f t="shared" si="0"/>
        <v>3229647</v>
      </c>
      <c r="H41" s="403">
        <v>3884305</v>
      </c>
      <c r="I41" s="1256"/>
      <c r="J41" s="402">
        <f t="shared" si="1"/>
        <v>3884305</v>
      </c>
      <c r="K41" s="403">
        <v>4844470</v>
      </c>
      <c r="L41" s="1256"/>
      <c r="M41" s="402">
        <f t="shared" si="2"/>
        <v>4844470</v>
      </c>
      <c r="N41" s="403">
        <v>5499128</v>
      </c>
      <c r="O41" s="1256"/>
      <c r="P41" s="402">
        <f t="shared" si="4"/>
        <v>5499128</v>
      </c>
      <c r="Q41" s="403">
        <v>5499128</v>
      </c>
      <c r="S41" s="522"/>
    </row>
    <row r="42" spans="1:19" ht="14.55" x14ac:dyDescent="0.25">
      <c r="A42" s="465"/>
      <c r="B42" s="404">
        <v>75000000</v>
      </c>
      <c r="C42" s="1256"/>
      <c r="D42" s="402">
        <v>3810164</v>
      </c>
      <c r="E42" s="403">
        <v>4547616</v>
      </c>
      <c r="F42" s="1256"/>
      <c r="G42" s="402">
        <f t="shared" si="0"/>
        <v>4547616</v>
      </c>
      <c r="H42" s="403">
        <v>5469430</v>
      </c>
      <c r="I42" s="1256"/>
      <c r="J42" s="402">
        <f t="shared" si="1"/>
        <v>5469430</v>
      </c>
      <c r="K42" s="403">
        <v>6821423</v>
      </c>
      <c r="L42" s="1256"/>
      <c r="M42" s="402">
        <f t="shared" si="2"/>
        <v>6821423</v>
      </c>
      <c r="N42" s="403">
        <v>7743237</v>
      </c>
      <c r="O42" s="1256"/>
      <c r="P42" s="402">
        <f t="shared" si="4"/>
        <v>7743237</v>
      </c>
      <c r="Q42" s="403">
        <v>7743237</v>
      </c>
      <c r="S42" s="522"/>
    </row>
    <row r="43" spans="1:19" ht="14.55" x14ac:dyDescent="0.25">
      <c r="A43" s="465"/>
      <c r="B43" s="404">
        <v>100000000</v>
      </c>
      <c r="C43" s="1256"/>
      <c r="D43" s="402">
        <v>4857293</v>
      </c>
      <c r="E43" s="403">
        <v>5797415</v>
      </c>
      <c r="F43" s="1256"/>
      <c r="G43" s="402">
        <f t="shared" si="0"/>
        <v>5797415</v>
      </c>
      <c r="H43" s="403">
        <v>6972566</v>
      </c>
      <c r="I43" s="1256"/>
      <c r="J43" s="402">
        <f t="shared" si="1"/>
        <v>6972566</v>
      </c>
      <c r="K43" s="403">
        <v>8696122</v>
      </c>
      <c r="L43" s="1256"/>
      <c r="M43" s="402">
        <f t="shared" si="2"/>
        <v>8696122</v>
      </c>
      <c r="N43" s="403">
        <v>9871274</v>
      </c>
      <c r="O43" s="1256"/>
      <c r="P43" s="402">
        <f t="shared" si="4"/>
        <v>9871274</v>
      </c>
      <c r="Q43" s="403">
        <v>9871274</v>
      </c>
      <c r="S43" s="522"/>
    </row>
    <row r="44" spans="1:19" ht="14.55" x14ac:dyDescent="0.25">
      <c r="A44" s="465"/>
      <c r="B44" s="404">
        <v>150000000</v>
      </c>
      <c r="C44" s="1256"/>
      <c r="D44" s="402">
        <v>6839336</v>
      </c>
      <c r="E44" s="403">
        <v>8163078</v>
      </c>
      <c r="F44" s="1256"/>
      <c r="G44" s="402">
        <f t="shared" si="0"/>
        <v>8163078</v>
      </c>
      <c r="H44" s="403">
        <v>9817756</v>
      </c>
      <c r="I44" s="1256"/>
      <c r="J44" s="402">
        <f t="shared" si="1"/>
        <v>9817756</v>
      </c>
      <c r="K44" s="403">
        <v>12244617</v>
      </c>
      <c r="L44" s="1256"/>
      <c r="M44" s="402">
        <f t="shared" si="2"/>
        <v>12244617</v>
      </c>
      <c r="N44" s="403">
        <v>13899296</v>
      </c>
      <c r="O44" s="1256"/>
      <c r="P44" s="402">
        <f t="shared" si="4"/>
        <v>13899296</v>
      </c>
      <c r="Q44" s="403">
        <v>13899296</v>
      </c>
      <c r="S44" s="522"/>
    </row>
    <row r="45" spans="1:19" ht="14.55" x14ac:dyDescent="0.25">
      <c r="A45" s="465"/>
      <c r="B45" s="404">
        <v>200000000</v>
      </c>
      <c r="C45" s="1256"/>
      <c r="D45" s="402">
        <v>8718820</v>
      </c>
      <c r="E45" s="403">
        <v>10406333</v>
      </c>
      <c r="F45" s="1256"/>
      <c r="G45" s="402">
        <f t="shared" si="0"/>
        <v>10406333</v>
      </c>
      <c r="H45" s="403">
        <v>12515725</v>
      </c>
      <c r="I45" s="1256"/>
      <c r="J45" s="402">
        <f t="shared" si="1"/>
        <v>12515725</v>
      </c>
      <c r="K45" s="403">
        <v>15609499</v>
      </c>
      <c r="L45" s="1256"/>
      <c r="M45" s="402">
        <f t="shared" si="2"/>
        <v>15609499</v>
      </c>
      <c r="N45" s="403">
        <v>17718891</v>
      </c>
      <c r="O45" s="1256"/>
      <c r="P45" s="402">
        <f t="shared" si="4"/>
        <v>17718891</v>
      </c>
      <c r="Q45" s="403">
        <v>17718891</v>
      </c>
      <c r="S45" s="522"/>
    </row>
    <row r="46" spans="1:19" ht="15.2" thickBot="1" x14ac:dyDescent="0.3">
      <c r="A46" s="465"/>
      <c r="B46" s="408">
        <v>250000000</v>
      </c>
      <c r="C46" s="1257"/>
      <c r="D46" s="410">
        <v>10525533</v>
      </c>
      <c r="E46" s="411">
        <v>12562733</v>
      </c>
      <c r="F46" s="1257"/>
      <c r="G46" s="410">
        <f t="shared" si="0"/>
        <v>12562733</v>
      </c>
      <c r="H46" s="411">
        <v>15109233</v>
      </c>
      <c r="I46" s="1257"/>
      <c r="J46" s="410">
        <f t="shared" si="1"/>
        <v>15109233</v>
      </c>
      <c r="K46" s="411">
        <v>18844100</v>
      </c>
      <c r="L46" s="1257"/>
      <c r="M46" s="410">
        <f t="shared" si="2"/>
        <v>18844100</v>
      </c>
      <c r="N46" s="411">
        <v>21390600</v>
      </c>
      <c r="O46" s="1257"/>
      <c r="P46" s="410">
        <f t="shared" si="4"/>
        <v>21390600</v>
      </c>
      <c r="Q46" s="411">
        <v>21390600</v>
      </c>
      <c r="S46" s="522"/>
    </row>
    <row r="47" spans="1:19" ht="14.55" x14ac:dyDescent="0.25">
      <c r="A47" s="74"/>
      <c r="B47" s="74"/>
      <c r="C47" s="74"/>
      <c r="D47" s="74"/>
      <c r="E47" s="74"/>
      <c r="F47" s="74"/>
      <c r="G47" s="74"/>
      <c r="H47" s="74"/>
      <c r="I47" s="74"/>
      <c r="J47" s="74"/>
      <c r="K47" s="74"/>
      <c r="L47" s="74"/>
      <c r="M47" s="74"/>
      <c r="N47" s="74"/>
      <c r="O47" s="74"/>
      <c r="P47" s="74"/>
      <c r="Q47" s="74"/>
    </row>
    <row r="48" spans="1:19" ht="14.55" x14ac:dyDescent="0.25">
      <c r="A48" s="74"/>
      <c r="B48" s="449" t="s">
        <v>486</v>
      </c>
      <c r="C48" s="74"/>
      <c r="D48" s="74"/>
      <c r="E48" s="447"/>
      <c r="F48" s="74"/>
      <c r="G48" s="74"/>
      <c r="H48" s="447"/>
      <c r="I48" s="74"/>
      <c r="J48" s="74"/>
      <c r="K48" s="74"/>
      <c r="L48" s="74"/>
      <c r="M48" s="74"/>
      <c r="N48" s="74"/>
      <c r="O48" s="74"/>
      <c r="P48" s="74"/>
      <c r="Q48" s="74"/>
    </row>
    <row r="49" spans="1:17" ht="14.55" x14ac:dyDescent="0.25">
      <c r="A49" s="74"/>
      <c r="B49" s="74"/>
      <c r="C49" s="74"/>
      <c r="D49" s="74"/>
      <c r="E49" s="447"/>
      <c r="F49" s="74"/>
      <c r="G49" s="74"/>
      <c r="H49" s="447"/>
      <c r="I49" s="74"/>
      <c r="J49" s="74"/>
      <c r="K49" s="74"/>
      <c r="L49" s="74"/>
      <c r="M49" s="74"/>
      <c r="N49" s="74"/>
      <c r="O49" s="74"/>
      <c r="P49" s="74"/>
      <c r="Q49" s="74"/>
    </row>
    <row r="50" spans="1:17" ht="14.55" x14ac:dyDescent="0.25">
      <c r="A50" s="74"/>
      <c r="B50" s="74"/>
      <c r="C50" s="74"/>
      <c r="D50" s="1204"/>
      <c r="E50" s="1204"/>
      <c r="F50" s="1204"/>
      <c r="G50" s="1204"/>
      <c r="H50" s="1204"/>
      <c r="I50" s="523"/>
      <c r="J50" s="451"/>
      <c r="K50" s="451"/>
      <c r="L50" s="451"/>
      <c r="M50" s="451"/>
      <c r="N50" s="451"/>
      <c r="O50" s="74"/>
      <c r="P50" s="74"/>
      <c r="Q50" s="74"/>
    </row>
    <row r="51" spans="1:17" ht="14.55" x14ac:dyDescent="0.25">
      <c r="A51" s="74"/>
      <c r="B51" s="74"/>
      <c r="C51" s="74"/>
      <c r="D51" s="74"/>
      <c r="E51" s="447"/>
      <c r="F51" s="74"/>
      <c r="G51" s="74"/>
      <c r="H51" s="447"/>
      <c r="I51" s="74"/>
      <c r="J51" s="74"/>
      <c r="K51" s="74"/>
      <c r="L51" s="74"/>
      <c r="M51" s="74"/>
      <c r="N51" s="74"/>
      <c r="O51" s="74"/>
      <c r="P51" s="74"/>
      <c r="Q51" s="74"/>
    </row>
    <row r="52" spans="1:17" ht="14.55" x14ac:dyDescent="0.25">
      <c r="A52" s="74"/>
      <c r="B52" s="74"/>
      <c r="C52" s="391"/>
      <c r="D52" s="1188" t="s">
        <v>337</v>
      </c>
      <c r="E52" s="387">
        <v>1</v>
      </c>
      <c r="F52" s="391"/>
      <c r="G52" s="1188" t="s">
        <v>338</v>
      </c>
      <c r="H52" s="387" t="s">
        <v>148</v>
      </c>
      <c r="I52" s="391"/>
      <c r="J52" s="74"/>
      <c r="K52" s="397"/>
      <c r="L52" s="391"/>
      <c r="M52" s="74"/>
      <c r="N52" s="397"/>
      <c r="O52" s="412"/>
      <c r="P52" s="465"/>
      <c r="Q52" s="465"/>
    </row>
    <row r="53" spans="1:17" ht="14.55" x14ac:dyDescent="0.25">
      <c r="A53" s="74"/>
      <c r="B53" s="74"/>
      <c r="C53" s="391"/>
      <c r="D53" s="1188"/>
      <c r="E53" s="387">
        <v>2</v>
      </c>
      <c r="F53" s="391"/>
      <c r="G53" s="1188"/>
      <c r="H53" s="387" t="s">
        <v>339</v>
      </c>
      <c r="I53" s="391"/>
      <c r="J53" s="74"/>
      <c r="K53" s="397"/>
      <c r="L53" s="391"/>
      <c r="M53" s="74"/>
      <c r="N53" s="397"/>
      <c r="O53" s="412"/>
      <c r="P53" s="465"/>
      <c r="Q53" s="465"/>
    </row>
    <row r="54" spans="1:17" ht="14.55" x14ac:dyDescent="0.25">
      <c r="A54" s="74"/>
      <c r="B54" s="74"/>
      <c r="C54" s="74"/>
      <c r="D54" s="1188"/>
      <c r="E54" s="387">
        <v>3</v>
      </c>
      <c r="F54" s="74"/>
      <c r="G54" s="1188"/>
      <c r="H54" s="387" t="s">
        <v>340</v>
      </c>
      <c r="I54" s="74"/>
      <c r="J54" s="74"/>
      <c r="K54" s="397"/>
      <c r="L54" s="74"/>
      <c r="M54" s="74"/>
      <c r="N54" s="397"/>
      <c r="O54" s="74"/>
      <c r="P54" s="74"/>
      <c r="Q54" s="74"/>
    </row>
    <row r="55" spans="1:17" ht="14.55" x14ac:dyDescent="0.25">
      <c r="A55" s="74"/>
      <c r="B55" s="74"/>
      <c r="C55" s="74"/>
      <c r="D55" s="1188"/>
      <c r="E55" s="387">
        <v>4</v>
      </c>
      <c r="F55" s="74"/>
      <c r="G55" s="1188"/>
      <c r="H55" s="387" t="s">
        <v>341</v>
      </c>
      <c r="I55" s="74"/>
      <c r="J55" s="74"/>
      <c r="K55" s="397"/>
      <c r="L55" s="74"/>
      <c r="M55" s="74"/>
      <c r="N55" s="397"/>
      <c r="O55" s="74"/>
      <c r="P55" s="74"/>
      <c r="Q55" s="74"/>
    </row>
    <row r="56" spans="1:17" ht="14.55" x14ac:dyDescent="0.25">
      <c r="A56" s="74"/>
      <c r="B56" s="74"/>
      <c r="C56" s="74"/>
      <c r="D56" s="1188"/>
      <c r="E56" s="387">
        <v>5</v>
      </c>
      <c r="F56" s="74"/>
      <c r="G56" s="1188"/>
      <c r="H56" s="387" t="s">
        <v>342</v>
      </c>
      <c r="I56" s="74"/>
      <c r="J56" s="74"/>
      <c r="K56" s="397"/>
      <c r="L56" s="74"/>
      <c r="M56" s="74"/>
      <c r="N56" s="397"/>
      <c r="O56" s="74"/>
      <c r="P56" s="74"/>
      <c r="Q56" s="74"/>
    </row>
    <row r="57" spans="1:17" ht="15.2" thickBot="1" x14ac:dyDescent="0.35">
      <c r="B57" s="384"/>
      <c r="C57" s="384"/>
      <c r="D57" s="384"/>
      <c r="E57" s="384"/>
      <c r="F57" s="384"/>
      <c r="G57" s="1179" t="s">
        <v>343</v>
      </c>
      <c r="H57" s="1179"/>
      <c r="I57" s="1180" t="s">
        <v>344</v>
      </c>
      <c r="J57" s="1180"/>
      <c r="K57" s="1180" t="s">
        <v>345</v>
      </c>
      <c r="L57" s="1180"/>
      <c r="M57" s="384"/>
    </row>
    <row r="58" spans="1:17" ht="15.2" thickBot="1" x14ac:dyDescent="0.3">
      <c r="B58" s="1230" t="s">
        <v>346</v>
      </c>
      <c r="C58" s="1231"/>
      <c r="D58" s="1231"/>
      <c r="E58" s="1232"/>
      <c r="F58" s="74"/>
      <c r="G58" s="1225" t="e">
        <f>#REF!</f>
        <v>#REF!</v>
      </c>
      <c r="H58" s="1226"/>
      <c r="I58" s="1225" t="e">
        <f>#REF!</f>
        <v>#REF!</v>
      </c>
      <c r="J58" s="1226"/>
      <c r="K58" s="1225" t="e">
        <f>#REF!</f>
        <v>#REF!</v>
      </c>
      <c r="L58" s="1226"/>
      <c r="M58" s="524"/>
      <c r="N58" s="524"/>
    </row>
    <row r="59" spans="1:17" ht="14.55" x14ac:dyDescent="0.3">
      <c r="B59" s="74"/>
      <c r="C59" s="74"/>
      <c r="D59" s="74"/>
      <c r="E59" s="74"/>
      <c r="F59" s="74"/>
      <c r="G59" s="74"/>
      <c r="H59" s="74"/>
      <c r="I59" s="384"/>
      <c r="J59" s="384"/>
      <c r="K59" s="384"/>
      <c r="L59" s="384"/>
      <c r="M59" s="74"/>
      <c r="N59" s="74"/>
    </row>
    <row r="60" spans="1:17" ht="14.55" x14ac:dyDescent="0.3">
      <c r="B60" s="449"/>
      <c r="C60" s="74"/>
      <c r="D60" s="74"/>
      <c r="E60" s="74"/>
      <c r="F60" s="74"/>
      <c r="G60" s="74"/>
      <c r="H60" s="74"/>
      <c r="I60" s="384"/>
      <c r="J60" s="384"/>
      <c r="K60" s="384"/>
      <c r="L60" s="384"/>
      <c r="M60" s="74"/>
      <c r="N60" s="74"/>
    </row>
    <row r="61" spans="1:17" ht="14.55" x14ac:dyDescent="0.3">
      <c r="B61" s="74"/>
      <c r="C61" s="74"/>
      <c r="D61" s="74"/>
      <c r="E61" s="74"/>
      <c r="F61" s="74"/>
      <c r="G61" s="74"/>
      <c r="H61" s="74"/>
      <c r="I61" s="384"/>
      <c r="J61" s="384"/>
      <c r="K61" s="384"/>
      <c r="L61" s="384"/>
      <c r="M61" s="74"/>
      <c r="N61" s="74"/>
    </row>
    <row r="62" spans="1:17" ht="14.55" x14ac:dyDescent="0.3">
      <c r="B62" s="1242" t="s">
        <v>337</v>
      </c>
      <c r="C62" s="1243"/>
      <c r="D62" s="1243"/>
      <c r="E62" s="1244"/>
      <c r="F62" s="458"/>
      <c r="G62" s="1181" t="e">
        <f>#REF!</f>
        <v>#REF!</v>
      </c>
      <c r="H62" s="1182"/>
      <c r="I62" s="384"/>
      <c r="J62" s="384"/>
      <c r="K62" s="525"/>
      <c r="L62" s="384"/>
      <c r="M62" s="459"/>
      <c r="N62" s="459"/>
    </row>
    <row r="63" spans="1:17" ht="14.55" x14ac:dyDescent="0.3">
      <c r="B63" s="1242" t="s">
        <v>338</v>
      </c>
      <c r="C63" s="1243"/>
      <c r="D63" s="1243"/>
      <c r="E63" s="1244"/>
      <c r="F63" s="458"/>
      <c r="G63" s="1181" t="e">
        <f>#REF!</f>
        <v>#REF!</v>
      </c>
      <c r="H63" s="1182"/>
      <c r="I63" s="384"/>
      <c r="J63" s="384"/>
      <c r="K63" s="384"/>
      <c r="L63" s="384"/>
      <c r="M63" s="459"/>
      <c r="N63" s="459"/>
    </row>
    <row r="64" spans="1:17" ht="14.55" x14ac:dyDescent="0.3">
      <c r="B64" s="74"/>
      <c r="C64" s="74"/>
      <c r="D64" s="74"/>
      <c r="E64" s="74"/>
      <c r="F64" s="74"/>
      <c r="G64" s="74"/>
      <c r="H64" s="74"/>
      <c r="I64" s="384"/>
      <c r="J64" s="384"/>
      <c r="K64" s="384"/>
      <c r="L64" s="384"/>
      <c r="M64" s="384"/>
    </row>
    <row r="65" spans="2:14" ht="14.55" x14ac:dyDescent="0.3">
      <c r="B65" s="74"/>
      <c r="C65" s="74"/>
      <c r="D65" s="74"/>
      <c r="E65" s="74"/>
      <c r="F65" s="74"/>
      <c r="G65" s="74"/>
      <c r="H65" s="74"/>
      <c r="I65" s="384"/>
      <c r="J65" s="384"/>
      <c r="K65" s="384"/>
      <c r="L65" s="384"/>
      <c r="M65" s="384"/>
    </row>
    <row r="66" spans="2:14" ht="14.55" x14ac:dyDescent="0.3">
      <c r="B66" s="449" t="s">
        <v>347</v>
      </c>
      <c r="C66" s="74"/>
      <c r="D66" s="74"/>
      <c r="E66" s="74"/>
      <c r="F66" s="74"/>
      <c r="G66" s="74"/>
      <c r="H66" s="74"/>
      <c r="I66" s="384"/>
      <c r="J66" s="384"/>
      <c r="K66" s="384"/>
      <c r="L66" s="384"/>
      <c r="M66" s="384"/>
    </row>
    <row r="67" spans="2:14" ht="14.55" x14ac:dyDescent="0.3">
      <c r="B67" s="74"/>
      <c r="C67" s="74"/>
      <c r="D67" s="74"/>
      <c r="E67" s="74"/>
      <c r="F67" s="74"/>
      <c r="G67" s="1179" t="s">
        <v>343</v>
      </c>
      <c r="H67" s="1179"/>
      <c r="I67" s="1180" t="s">
        <v>344</v>
      </c>
      <c r="J67" s="1180"/>
      <c r="K67" s="1185" t="s">
        <v>345</v>
      </c>
      <c r="L67" s="1185"/>
      <c r="M67" s="1185"/>
    </row>
    <row r="68" spans="2:14" ht="14.55" x14ac:dyDescent="0.25">
      <c r="C68" s="449"/>
      <c r="D68" s="1222" t="s">
        <v>348</v>
      </c>
      <c r="E68" s="1171" t="s">
        <v>337</v>
      </c>
      <c r="F68" s="460"/>
      <c r="G68" s="526" t="s">
        <v>349</v>
      </c>
      <c r="H68" s="527" t="e">
        <f>IF($G$58&lt;$B$8,0,IF($G$58&gt;$B$46,0,VLOOKUP($G$58,$B$8:$B$46,1)))</f>
        <v>#REF!</v>
      </c>
      <c r="I68" s="526" t="s">
        <v>349</v>
      </c>
      <c r="J68" s="527" t="e">
        <f>IF($I$58&lt;$B$8,0,IF($I$58&gt;$B$46,0,VLOOKUP($I$58,$B$8:$B$46,1)))</f>
        <v>#REF!</v>
      </c>
      <c r="K68" s="526" t="s">
        <v>349</v>
      </c>
      <c r="L68" s="1175" t="e">
        <f>IF($K$58&lt;$B$8,0,IF($K$58&gt;$B$46,0,VLOOKUP(K58,B8:B46,1)))</f>
        <v>#REF!</v>
      </c>
      <c r="M68" s="1176"/>
      <c r="N68" s="460"/>
    </row>
    <row r="69" spans="2:14" ht="14.55" x14ac:dyDescent="0.25">
      <c r="B69" s="449"/>
      <c r="C69" s="449"/>
      <c r="D69" s="1223"/>
      <c r="E69" s="1172"/>
      <c r="F69" s="74"/>
      <c r="G69" s="594" t="s">
        <v>148</v>
      </c>
      <c r="H69" s="595" t="s">
        <v>342</v>
      </c>
      <c r="I69" s="594" t="s">
        <v>148</v>
      </c>
      <c r="J69" s="595" t="s">
        <v>342</v>
      </c>
      <c r="K69" s="594" t="s">
        <v>148</v>
      </c>
      <c r="L69" s="1289" t="s">
        <v>342</v>
      </c>
      <c r="M69" s="1290"/>
      <c r="N69" s="465"/>
    </row>
    <row r="70" spans="2:14" ht="14.55" x14ac:dyDescent="0.25">
      <c r="B70" s="449"/>
      <c r="C70" s="449"/>
      <c r="D70" s="1223"/>
      <c r="E70" s="561">
        <v>1</v>
      </c>
      <c r="F70" s="74"/>
      <c r="G70" s="462" t="e">
        <f>IF($G$58&lt;$B$8,0,IF($G$58&gt;$B$46,0,VLOOKUP($H$68,$B$8:$Q$46,3)))</f>
        <v>#REF!</v>
      </c>
      <c r="H70" s="462" t="e">
        <f>IF($G$58&lt;$B$8,0,IF($G$58&gt;$B$46,0,VLOOKUP(G70,$D$8:$E$46,2)))</f>
        <v>#REF!</v>
      </c>
      <c r="I70" s="462" t="e">
        <f>IF($I$58&lt;$B$8,0,IF($I$58&gt;$B$46,0,VLOOKUP($J$68,$B$8:$Q$46,3)))</f>
        <v>#REF!</v>
      </c>
      <c r="J70" s="462" t="e">
        <f>IF($I$58&lt;$B$8,0,IF($I$58&gt;$B$46,0,VLOOKUP(I70,$D$8:$E$46,2)))</f>
        <v>#REF!</v>
      </c>
      <c r="K70" s="462" t="e">
        <f>IF($K$58&lt;$B$8,0,IF($K$58&gt;$B$46,0,VLOOKUP($L$68,$B$8:$Q$46,3)))</f>
        <v>#REF!</v>
      </c>
      <c r="L70" s="1173" t="e">
        <f>IF($K$58&lt;$B$8,0,IF($K$58&gt;$B$46,0,VLOOKUP(K70,$D$8:$E$46,2)))</f>
        <v>#REF!</v>
      </c>
      <c r="M70" s="1174"/>
      <c r="N70" s="460"/>
    </row>
    <row r="71" spans="2:14" ht="14.55" x14ac:dyDescent="0.25">
      <c r="B71" s="449"/>
      <c r="C71" s="449"/>
      <c r="D71" s="1223"/>
      <c r="E71" s="561">
        <v>2</v>
      </c>
      <c r="F71" s="74"/>
      <c r="G71" s="462" t="e">
        <f>IF($G$58&lt;$B$8,0,IF($G$58&gt;$B$46,0,VLOOKUP($H$68,$B$8:$Q$46,6)))</f>
        <v>#REF!</v>
      </c>
      <c r="H71" s="462" t="e">
        <f>IF($G$58&lt;$B$8,0,IF($G$58&gt;$B$46,0,VLOOKUP(G71,$G$8:$H$46,2)))</f>
        <v>#REF!</v>
      </c>
      <c r="I71" s="462" t="e">
        <f>IF($I$58&lt;$B$8,0,IF($I$58&gt;$B$46,0,VLOOKUP($J$68,$B$8:$Q$46,6)))</f>
        <v>#REF!</v>
      </c>
      <c r="J71" s="462" t="e">
        <f>IF($I$58&lt;$B$8,0,IF($I$58&gt;$B$46,0,VLOOKUP(I71,$G$8:$H$46,2)))</f>
        <v>#REF!</v>
      </c>
      <c r="K71" s="462" t="e">
        <f>IF($K$58&lt;$B$8,0,IF($K$58&gt;$B$46,0,VLOOKUP($L$68,$B$8:$Q$46,6)))</f>
        <v>#REF!</v>
      </c>
      <c r="L71" s="1173" t="e">
        <f>IF($K$58&lt;$B$8,0,IF($K$58&gt;$B$46,0,VLOOKUP(K71,$G$8:$H$46,2)))</f>
        <v>#REF!</v>
      </c>
      <c r="M71" s="1174"/>
      <c r="N71" s="460"/>
    </row>
    <row r="72" spans="2:14" ht="14.55" x14ac:dyDescent="0.25">
      <c r="B72" s="449"/>
      <c r="C72" s="449"/>
      <c r="D72" s="1223"/>
      <c r="E72" s="561">
        <v>3</v>
      </c>
      <c r="F72" s="74"/>
      <c r="G72" s="462" t="e">
        <f>IF($G$58&lt;$B$8,0,IF($G$58&gt;$B$46,0,VLOOKUP($H$68,$B$8:$Q$46,9)))</f>
        <v>#REF!</v>
      </c>
      <c r="H72" s="462" t="e">
        <f>IF($G$58&lt;$B$8,0,IF($G$58&gt;$B$46,0,VLOOKUP(G72,$J$8:$K$46,2)))</f>
        <v>#REF!</v>
      </c>
      <c r="I72" s="462" t="e">
        <f>IF($I$58&lt;$B$8,0,IF($I$58&gt;$B$46,0,VLOOKUP($J$68,$B$8:$Q$46,9)))</f>
        <v>#REF!</v>
      </c>
      <c r="J72" s="462" t="e">
        <f>IF($I$58&lt;$B$8,0,IF($I$58&gt;$B$46,0,VLOOKUP(I72,$J$8:$K$46,2)))</f>
        <v>#REF!</v>
      </c>
      <c r="K72" s="462" t="e">
        <f>IF($K$58&lt;$B$8,0,IF($K$58&gt;$B$46,0,VLOOKUP($L$68,$B$8:$Q$46,9)))</f>
        <v>#REF!</v>
      </c>
      <c r="L72" s="1173" t="e">
        <f>IF($K$58&lt;$B$8,0,IF($K$58&gt;$B$46,0,VLOOKUP(K72,$J$8:$K$46,2)))</f>
        <v>#REF!</v>
      </c>
      <c r="M72" s="1174"/>
      <c r="N72" s="460"/>
    </row>
    <row r="73" spans="2:14" ht="14.55" x14ac:dyDescent="0.25">
      <c r="B73" s="449"/>
      <c r="C73" s="449"/>
      <c r="D73" s="1223"/>
      <c r="E73" s="561">
        <v>4</v>
      </c>
      <c r="F73" s="74"/>
      <c r="G73" s="462" t="e">
        <f>IF($G$58&lt;$B$8,0,IF($G$58&gt;$B$46,0,VLOOKUP($H$68,$B$8:$Q$46,12)))</f>
        <v>#REF!</v>
      </c>
      <c r="H73" s="462" t="e">
        <f>IF($G$58&lt;$B$8,0,IF($G$58&gt;$B$46,0,VLOOKUP(G73,$M$8:$N$46,2)))</f>
        <v>#REF!</v>
      </c>
      <c r="I73" s="462" t="e">
        <f>IF($I$58&lt;$B$8,0,IF($I$58&gt;$B$46,0,VLOOKUP($J$68,$B$8:$Q$46,12)))</f>
        <v>#REF!</v>
      </c>
      <c r="J73" s="462" t="e">
        <f>IF($I$58&lt;$B$8,0,IF($I$58&gt;$B$46,0,VLOOKUP(I73,$M$8:$N$46,2)))</f>
        <v>#REF!</v>
      </c>
      <c r="K73" s="462" t="e">
        <f>IF($K$58&lt;$B$8,0,IF($K$58&gt;$B$46,0,VLOOKUP($L$68,$B$8:$Q$46,12)))</f>
        <v>#REF!</v>
      </c>
      <c r="L73" s="1173" t="e">
        <f>IF($K$58&lt;$B$8,0,IF($K$58&gt;$B$46,0,VLOOKUP(K73,$M$8:$N$46,2)))</f>
        <v>#REF!</v>
      </c>
      <c r="M73" s="1174"/>
      <c r="N73" s="460"/>
    </row>
    <row r="74" spans="2:14" ht="14.55" x14ac:dyDescent="0.25">
      <c r="B74" s="449"/>
      <c r="C74" s="449"/>
      <c r="D74" s="1224"/>
      <c r="E74" s="561">
        <v>5</v>
      </c>
      <c r="F74" s="74"/>
      <c r="G74" s="462" t="e">
        <f>IF($G$58&lt;$B$8,0,IF($G$58&gt;$B$46,0,VLOOKUP($H$68,$B$8:$Q$46,15)))</f>
        <v>#REF!</v>
      </c>
      <c r="H74" s="462" t="e">
        <f>IF($G$58&lt;$B$8,0,IF($G$58&gt;$B$46,0,VLOOKUP(G74,$P$8:$Q$46,2)))</f>
        <v>#REF!</v>
      </c>
      <c r="I74" s="462" t="e">
        <f>IF($I$58&lt;$B$8,0,IF($I$58&gt;$B$46,0,VLOOKUP($J$68,$B$8:$Q$46,15)))</f>
        <v>#REF!</v>
      </c>
      <c r="J74" s="462" t="e">
        <f>IF($I$58&lt;$B$8,0,IF($I$58&gt;$B$46,0,VLOOKUP(I74,$P$8:$Q$46,2)))</f>
        <v>#REF!</v>
      </c>
      <c r="K74" s="462" t="e">
        <f>IF($K$58&lt;$B$8,0,IF($K$58&gt;$B$46,0,VLOOKUP($L$68,$B$8:$Q$46,15)))</f>
        <v>#REF!</v>
      </c>
      <c r="L74" s="1173" t="e">
        <f>IF($K$58&lt;$B$8,0,IF($K$58&gt;$B$46,0,VLOOKUP(K74,$P$8:$Q$46,2)))</f>
        <v>#REF!</v>
      </c>
      <c r="M74" s="1174"/>
      <c r="N74" s="460"/>
    </row>
    <row r="75" spans="2:14" ht="14.55" x14ac:dyDescent="0.25">
      <c r="B75" s="396"/>
      <c r="C75" s="396"/>
      <c r="D75" s="396"/>
      <c r="E75" s="74"/>
      <c r="F75" s="74"/>
      <c r="G75" s="528"/>
      <c r="H75" s="465"/>
    </row>
    <row r="76" spans="2:14" ht="14.55" x14ac:dyDescent="0.25">
      <c r="C76" s="449"/>
      <c r="D76" s="1222" t="s">
        <v>350</v>
      </c>
      <c r="E76" s="1171" t="s">
        <v>337</v>
      </c>
      <c r="F76" s="74"/>
      <c r="G76" s="461" t="s">
        <v>349</v>
      </c>
      <c r="H76" s="462" t="e" cm="1">
        <f t="array" ref="H76">IF($G$58&lt;$B$8,0,IF(G58&gt;B46,0,INDEX(B8:B46,MATCH(G58,B8:B46,1)+1,1)))</f>
        <v>#REF!</v>
      </c>
      <c r="I76" s="461" t="s">
        <v>349</v>
      </c>
      <c r="J76" s="462" t="e">
        <f>IF(I58&lt;$B$8,0,IF(I58&gt;$B$46,0,INDEX(B8:B46,MATCH(I58,B8:B46,1)+1,1)))</f>
        <v>#REF!</v>
      </c>
      <c r="K76" s="461" t="s">
        <v>349</v>
      </c>
      <c r="L76" s="1175" t="e" cm="1">
        <f t="array" ref="L76">IF($K$58&lt;$B$8,0,IF($K$58&gt;$B$46,0,INDEX(B8:B46,MATCH(K58,B8:B46,1)+1,1)))</f>
        <v>#REF!</v>
      </c>
      <c r="M76" s="1176"/>
      <c r="N76" s="460"/>
    </row>
    <row r="77" spans="2:14" ht="14.55" x14ac:dyDescent="0.25">
      <c r="B77" s="449"/>
      <c r="C77" s="449"/>
      <c r="D77" s="1223"/>
      <c r="E77" s="1172"/>
      <c r="F77" s="74"/>
      <c r="G77" s="594" t="s">
        <v>148</v>
      </c>
      <c r="H77" s="595" t="s">
        <v>342</v>
      </c>
      <c r="I77" s="594" t="s">
        <v>148</v>
      </c>
      <c r="J77" s="595" t="s">
        <v>342</v>
      </c>
      <c r="K77" s="594" t="s">
        <v>148</v>
      </c>
      <c r="L77" s="1289" t="s">
        <v>342</v>
      </c>
      <c r="M77" s="1290"/>
      <c r="N77" s="465"/>
    </row>
    <row r="78" spans="2:14" ht="14.55" x14ac:dyDescent="0.25">
      <c r="B78" s="449"/>
      <c r="C78" s="449"/>
      <c r="D78" s="1223"/>
      <c r="E78" s="561">
        <v>1</v>
      </c>
      <c r="F78" s="74"/>
      <c r="G78" s="462" t="e">
        <f>IF($G$58&lt;$B$8,0,IF($G$58&gt;$B$46,0,VLOOKUP($H$76,$B$8:$Q$46,3)))</f>
        <v>#REF!</v>
      </c>
      <c r="H78" s="462" t="e">
        <f>IF($G$58&lt;$B$8,0,IF($G$58&gt;$B$46,0,VLOOKUP(G78,$D$8:$E$46,2)))</f>
        <v>#REF!</v>
      </c>
      <c r="I78" s="462" t="e">
        <f>IF($I$58&lt;$B$8,0,IF($I$58&gt;$B$46,0,VLOOKUP($J$76,$B$8:$Q$46,3)))</f>
        <v>#REF!</v>
      </c>
      <c r="J78" s="462" t="e">
        <f>IF($I$58&lt;$B$8,0,IF($I$58&gt;$B$46,0,VLOOKUP(I78,$D$8:$E$46,2)))</f>
        <v>#REF!</v>
      </c>
      <c r="K78" s="462" t="e">
        <f>IF($K$58&lt;$B$8,0,IF($K$58&gt;$B$46,0,VLOOKUP($L$76,$B$8:$Q$46,3)))</f>
        <v>#REF!</v>
      </c>
      <c r="L78" s="1173" t="e">
        <f>IF($K$58&lt;$B$8,0,IF($K$58&gt;$B$46,0,VLOOKUP(K78,$D$8:$E$46,2)))</f>
        <v>#REF!</v>
      </c>
      <c r="M78" s="1174"/>
      <c r="N78" s="460"/>
    </row>
    <row r="79" spans="2:14" ht="14.55" x14ac:dyDescent="0.25">
      <c r="B79" s="449"/>
      <c r="C79" s="449"/>
      <c r="D79" s="1223"/>
      <c r="E79" s="561">
        <v>2</v>
      </c>
      <c r="F79" s="74"/>
      <c r="G79" s="462" t="e">
        <f>IF($G$58&lt;$B$8,0,IF($G$58&gt;$B$46,0,VLOOKUP($H$76,$B$8:$Q$47,6)))</f>
        <v>#REF!</v>
      </c>
      <c r="H79" s="462" t="e">
        <f>IF($G$58&lt;$B$8,0,IF($G$58&gt;$B$46,0,VLOOKUP(G79,$G$8:$H$46,2)))</f>
        <v>#REF!</v>
      </c>
      <c r="I79" s="462" t="e">
        <f>IF($I$58&lt;$B$8,0,IF($I$58&gt;$B$46,0,VLOOKUP($J$76,$B$8:$Q$46,6)))</f>
        <v>#REF!</v>
      </c>
      <c r="J79" s="462" t="e">
        <f>IF($I$58&lt;$B$8,0,IF($I$58&gt;$B$46,0,VLOOKUP(I79,$G$8:$H$46,2)))</f>
        <v>#REF!</v>
      </c>
      <c r="K79" s="462" t="e">
        <f>IF($K$58&lt;$B$8,0,IF($K$58&gt;$B$46,0,VLOOKUP($L$76,$B$8:$Q$46,6)))</f>
        <v>#REF!</v>
      </c>
      <c r="L79" s="1173" t="e">
        <f>IF($K$58&lt;$B$8,0,IF($K$58&gt;$B$46,0,VLOOKUP(K79,$G$8:$H$46,2)))</f>
        <v>#REF!</v>
      </c>
      <c r="M79" s="1174"/>
      <c r="N79" s="460"/>
    </row>
    <row r="80" spans="2:14" ht="14.55" x14ac:dyDescent="0.25">
      <c r="B80" s="449"/>
      <c r="C80" s="449"/>
      <c r="D80" s="1223"/>
      <c r="E80" s="561">
        <v>3</v>
      </c>
      <c r="F80" s="74"/>
      <c r="G80" s="462" t="e">
        <f>IF($G$58&lt;$B$8,0,IF($G$58&gt;$B$46,0,VLOOKUP($H$76,$B$8:$Q$46,9)))</f>
        <v>#REF!</v>
      </c>
      <c r="H80" s="462" t="e">
        <f>IF($G$58&lt;$B$8,0,IF($G$58&gt;$B$46,0,VLOOKUP(G80,$J$8:$K$46,2)))</f>
        <v>#REF!</v>
      </c>
      <c r="I80" s="462" t="e">
        <f>IF($I$58&lt;$B$8,0,IF($I$58&gt;$B$46,0,VLOOKUP($J$76,$B$8:$Q$46,9)))</f>
        <v>#REF!</v>
      </c>
      <c r="J80" s="462" t="e">
        <f>IF($I$58&lt;$B$8,0,IF($I$58&gt;$B$46,0,VLOOKUP(I80,$J$8:$K$46,2)))</f>
        <v>#REF!</v>
      </c>
      <c r="K80" s="462" t="e">
        <f>IF($K$58&lt;$B$8,0,IF($K$58&gt;$B$46,0,VLOOKUP($L$76,$B$8:$Q$46,9)))</f>
        <v>#REF!</v>
      </c>
      <c r="L80" s="1173" t="e">
        <f>IF($K$58&lt;$B$8,0,IF($K$58&gt;$B$46,0,VLOOKUP(K80,$J$8:$K$46,2)))</f>
        <v>#REF!</v>
      </c>
      <c r="M80" s="1174"/>
      <c r="N80" s="460"/>
    </row>
    <row r="81" spans="2:14" ht="14.55" x14ac:dyDescent="0.25">
      <c r="B81" s="449"/>
      <c r="C81" s="449"/>
      <c r="D81" s="1223"/>
      <c r="E81" s="561">
        <v>4</v>
      </c>
      <c r="F81" s="74"/>
      <c r="G81" s="462" t="e">
        <f>IF($G$58&lt;$B$8,0,IF($G$58&gt;$B$46,0,VLOOKUP($H$76,$B$8:$Q$46,12)))</f>
        <v>#REF!</v>
      </c>
      <c r="H81" s="462" t="e">
        <f>IF($G$58&lt;$B$8,0,IF($G$58&gt;$B$46,0,VLOOKUP(G81,$M$8:$N$46,2)))</f>
        <v>#REF!</v>
      </c>
      <c r="I81" s="462" t="e">
        <f>IF($I$58&lt;$B$8,0,IF($I$58&gt;$B$46,0,VLOOKUP($J$76,$B$8:$Q$46,12)))</f>
        <v>#REF!</v>
      </c>
      <c r="J81" s="462" t="e">
        <f>IF($I$58&lt;$B$8,0,IF($I$58&gt;$B$46,0,VLOOKUP(I81,$M$8:$N$46,2)))</f>
        <v>#REF!</v>
      </c>
      <c r="K81" s="462" t="e">
        <f>IF($K$58&lt;$B$8,0,IF($K$58&gt;$B$46,0,VLOOKUP($L$76,$B$8:$Q$46,12)))</f>
        <v>#REF!</v>
      </c>
      <c r="L81" s="1173" t="e">
        <f>IF($K$58&lt;$B$8,0,IF($K$58&gt;$B$46,0,VLOOKUP(K81,$M$8:$N$46,2)))</f>
        <v>#REF!</v>
      </c>
      <c r="M81" s="1174"/>
      <c r="N81" s="460"/>
    </row>
    <row r="82" spans="2:14" ht="14.55" x14ac:dyDescent="0.25">
      <c r="B82" s="449"/>
      <c r="C82" s="449"/>
      <c r="D82" s="1224"/>
      <c r="E82" s="561">
        <v>5</v>
      </c>
      <c r="F82" s="74"/>
      <c r="G82" s="462" t="e">
        <f>IF($G$58&lt;$B$8,0,IF($G$58&gt;$B$46,0,VLOOKUP($H$76,$B$8:$Q$46,15)))</f>
        <v>#REF!</v>
      </c>
      <c r="H82" s="462" t="e">
        <f>IF($G$58&lt;$B$8,0,IF($G$58&gt;$B$46,0,VLOOKUP(G82,$P$8:$Q$46,2)))</f>
        <v>#REF!</v>
      </c>
      <c r="I82" s="462" t="e">
        <f>IF($I$58&lt;$B$8,0,IF($I$58&gt;$B$46,0,VLOOKUP($J$76,$B$8:$Q$46,15)))</f>
        <v>#REF!</v>
      </c>
      <c r="J82" s="462" t="e">
        <f>IF($I$58&lt;$B$8,0,IF($I$58&gt;$B$46,0,VLOOKUP(I82,$P$8:$Q$46,2)))</f>
        <v>#REF!</v>
      </c>
      <c r="K82" s="462" t="e">
        <f>IF($K$58&lt;$B$8,0,IF($K$58&gt;$B$46,0,VLOOKUP($L$76,$B$8:$Q$46,15)))</f>
        <v>#REF!</v>
      </c>
      <c r="L82" s="1173" t="e">
        <f>IF($K$58&lt;$B$8,0,IF($K$58&gt;$B$46,0,VLOOKUP(K82,$P$8:$Q$46,2)))</f>
        <v>#REF!</v>
      </c>
      <c r="M82" s="1174"/>
      <c r="N82" s="460"/>
    </row>
    <row r="84" spans="2:14" x14ac:dyDescent="0.25">
      <c r="B84" s="383" t="s">
        <v>351</v>
      </c>
    </row>
    <row r="86" spans="2:14" ht="14.55" x14ac:dyDescent="0.25">
      <c r="B86" s="396"/>
      <c r="C86" s="396"/>
      <c r="D86" s="396"/>
      <c r="E86" s="74"/>
      <c r="F86" s="74"/>
      <c r="G86" s="594" t="s">
        <v>148</v>
      </c>
      <c r="H86" s="595" t="s">
        <v>342</v>
      </c>
      <c r="I86" s="594" t="s">
        <v>148</v>
      </c>
      <c r="J86" s="595" t="s">
        <v>342</v>
      </c>
      <c r="K86" s="594" t="s">
        <v>148</v>
      </c>
      <c r="L86" s="1291" t="s">
        <v>342</v>
      </c>
      <c r="M86" s="1291"/>
      <c r="N86" s="465"/>
    </row>
    <row r="87" spans="2:14" ht="14.55" x14ac:dyDescent="0.25">
      <c r="B87" s="1238" t="s">
        <v>348</v>
      </c>
      <c r="C87" s="1238"/>
      <c r="D87" s="1238"/>
      <c r="E87" s="1238"/>
      <c r="F87" s="74"/>
      <c r="G87" s="468" t="e">
        <f>VLOOKUP($G$62,$E$70:$H$74,3)</f>
        <v>#REF!</v>
      </c>
      <c r="H87" s="468" t="e">
        <f>VLOOKUP(G62,$E$70:$H$74,4)</f>
        <v>#REF!</v>
      </c>
      <c r="I87" s="468" t="e">
        <f>VLOOKUP($G$62,$E$70:$J$74,5)</f>
        <v>#REF!</v>
      </c>
      <c r="J87" s="468" t="e">
        <f>VLOOKUP(G62,$E$70:$J$74,6)</f>
        <v>#REF!</v>
      </c>
      <c r="K87" s="468" t="e">
        <f>VLOOKUP($G$62,$E$70:$K$74,7)</f>
        <v>#REF!</v>
      </c>
      <c r="L87" s="1164" t="e">
        <f>VLOOKUP(G62,$E$70:$M$74,8)</f>
        <v>#REF!</v>
      </c>
      <c r="M87" s="1164"/>
      <c r="N87" s="469"/>
    </row>
    <row r="88" spans="2:14" ht="14.55" x14ac:dyDescent="0.25">
      <c r="B88" s="1238" t="s">
        <v>350</v>
      </c>
      <c r="C88" s="1238"/>
      <c r="D88" s="1238"/>
      <c r="E88" s="1238"/>
      <c r="F88" s="74"/>
      <c r="G88" s="468" t="e">
        <f>VLOOKUP($G$62,$E$78:$H$82,3)</f>
        <v>#REF!</v>
      </c>
      <c r="H88" s="468" t="e">
        <f>VLOOKUP(G62,$E$78:$H$82,4)</f>
        <v>#REF!</v>
      </c>
      <c r="I88" s="468" t="e">
        <f>VLOOKUP($G$62,$E$78:$J$82,5)</f>
        <v>#REF!</v>
      </c>
      <c r="J88" s="468" t="e">
        <f>VLOOKUP(G62,$E$78:$K$82,6)</f>
        <v>#REF!</v>
      </c>
      <c r="K88" s="468" t="e">
        <f>VLOOKUP($G$62,$E$78:$K$82,7)</f>
        <v>#REF!</v>
      </c>
      <c r="L88" s="1164" t="e">
        <f>VLOOKUP(G62,$E$78:$M$82,8)</f>
        <v>#REF!</v>
      </c>
      <c r="M88" s="1164"/>
      <c r="N88" s="469"/>
    </row>
    <row r="89" spans="2:14" ht="14.55" x14ac:dyDescent="0.25">
      <c r="B89" s="1245" t="s">
        <v>352</v>
      </c>
      <c r="C89" s="1246"/>
      <c r="D89" s="1246"/>
      <c r="E89" s="1247"/>
      <c r="F89" s="74"/>
      <c r="G89" s="529" t="e">
        <f t="shared" ref="G89:L89" si="5">G88-G87</f>
        <v>#REF!</v>
      </c>
      <c r="H89" s="529" t="e">
        <f t="shared" si="5"/>
        <v>#REF!</v>
      </c>
      <c r="I89" s="529" t="e">
        <f t="shared" si="5"/>
        <v>#REF!</v>
      </c>
      <c r="J89" s="529" t="e">
        <f t="shared" si="5"/>
        <v>#REF!</v>
      </c>
      <c r="K89" s="529" t="e">
        <f t="shared" si="5"/>
        <v>#REF!</v>
      </c>
      <c r="L89" s="1189" t="e">
        <f t="shared" si="5"/>
        <v>#REF!</v>
      </c>
      <c r="M89" s="1189"/>
      <c r="N89" s="530"/>
    </row>
    <row r="90" spans="2:14" ht="14.55" x14ac:dyDescent="0.25">
      <c r="B90" s="1238" t="s">
        <v>353</v>
      </c>
      <c r="C90" s="1238"/>
      <c r="D90" s="1238"/>
      <c r="E90" s="1238"/>
      <c r="F90" s="74"/>
      <c r="G90" s="529" t="e">
        <f>G58-H68</f>
        <v>#REF!</v>
      </c>
      <c r="H90" s="472" t="e">
        <f>G62</f>
        <v>#REF!</v>
      </c>
      <c r="I90" s="529" t="e">
        <f>I58-J68</f>
        <v>#REF!</v>
      </c>
      <c r="J90" s="472" t="e">
        <f>G62</f>
        <v>#REF!</v>
      </c>
      <c r="K90" s="529" t="e">
        <f>K58-L68</f>
        <v>#REF!</v>
      </c>
      <c r="L90" s="1190" t="e">
        <f>G62</f>
        <v>#REF!</v>
      </c>
      <c r="M90" s="1190"/>
      <c r="N90" s="531"/>
    </row>
    <row r="93" spans="2:14" x14ac:dyDescent="0.25">
      <c r="B93" s="383" t="s">
        <v>354</v>
      </c>
    </row>
    <row r="95" spans="2:14" ht="14.55" x14ac:dyDescent="0.25">
      <c r="B95" s="74"/>
      <c r="C95" s="74"/>
      <c r="D95" s="465"/>
      <c r="E95" s="74"/>
      <c r="F95" s="465"/>
      <c r="G95" s="594" t="s">
        <v>148</v>
      </c>
      <c r="H95" s="595" t="s">
        <v>342</v>
      </c>
      <c r="I95" s="594" t="s">
        <v>148</v>
      </c>
      <c r="J95" s="595" t="s">
        <v>342</v>
      </c>
      <c r="K95" s="594" t="s">
        <v>148</v>
      </c>
      <c r="L95" s="1291" t="s">
        <v>342</v>
      </c>
      <c r="M95" s="1291"/>
      <c r="N95" s="465"/>
    </row>
    <row r="96" spans="2:14" ht="14.55" x14ac:dyDescent="0.25">
      <c r="B96" s="1238" t="s">
        <v>355</v>
      </c>
      <c r="C96" s="1238"/>
      <c r="D96" s="1238"/>
      <c r="E96" s="1238"/>
      <c r="F96" s="473"/>
      <c r="G96" s="468" t="e">
        <f t="shared" ref="G96:L96" si="6">G87</f>
        <v>#REF!</v>
      </c>
      <c r="H96" s="468" t="e">
        <f t="shared" si="6"/>
        <v>#REF!</v>
      </c>
      <c r="I96" s="468" t="e">
        <f t="shared" si="6"/>
        <v>#REF!</v>
      </c>
      <c r="J96" s="468" t="e">
        <f t="shared" si="6"/>
        <v>#REF!</v>
      </c>
      <c r="K96" s="468" t="e">
        <f t="shared" si="6"/>
        <v>#REF!</v>
      </c>
      <c r="L96" s="1164" t="e">
        <f t="shared" si="6"/>
        <v>#REF!</v>
      </c>
      <c r="M96" s="1164"/>
      <c r="N96" s="469"/>
    </row>
    <row r="97" spans="2:22" ht="14.55" x14ac:dyDescent="0.25">
      <c r="B97" s="1238" t="s">
        <v>356</v>
      </c>
      <c r="C97" s="1238"/>
      <c r="D97" s="1238"/>
      <c r="E97" s="1238"/>
      <c r="F97" s="473"/>
      <c r="G97" s="468" t="e">
        <f>G90</f>
        <v>#REF!</v>
      </c>
      <c r="H97" s="468" t="e">
        <f>G90</f>
        <v>#REF!</v>
      </c>
      <c r="I97" s="468" t="e">
        <f>I90</f>
        <v>#REF!</v>
      </c>
      <c r="J97" s="468" t="e">
        <f>I90</f>
        <v>#REF!</v>
      </c>
      <c r="K97" s="468" t="e">
        <f>K90</f>
        <v>#REF!</v>
      </c>
      <c r="L97" s="1164" t="e">
        <f>K90</f>
        <v>#REF!</v>
      </c>
      <c r="M97" s="1164"/>
      <c r="N97" s="469"/>
    </row>
    <row r="98" spans="2:22" ht="14.55" x14ac:dyDescent="0.25">
      <c r="B98" s="1238" t="s">
        <v>357</v>
      </c>
      <c r="C98" s="1238"/>
      <c r="D98" s="1238"/>
      <c r="E98" s="1238"/>
      <c r="F98" s="473"/>
      <c r="G98" s="468" t="e">
        <f t="shared" ref="G98:L98" si="7">G89</f>
        <v>#REF!</v>
      </c>
      <c r="H98" s="468" t="e">
        <f t="shared" si="7"/>
        <v>#REF!</v>
      </c>
      <c r="I98" s="468" t="e">
        <f t="shared" si="7"/>
        <v>#REF!</v>
      </c>
      <c r="J98" s="468" t="e">
        <f t="shared" si="7"/>
        <v>#REF!</v>
      </c>
      <c r="K98" s="468" t="e">
        <f t="shared" si="7"/>
        <v>#REF!</v>
      </c>
      <c r="L98" s="1164" t="e">
        <f t="shared" si="7"/>
        <v>#REF!</v>
      </c>
      <c r="M98" s="1164"/>
      <c r="N98" s="469"/>
    </row>
    <row r="99" spans="2:22" ht="14.55" x14ac:dyDescent="0.25">
      <c r="B99" s="1238" t="s">
        <v>358</v>
      </c>
      <c r="C99" s="1238"/>
      <c r="D99" s="1238"/>
      <c r="E99" s="1238"/>
      <c r="F99" s="473"/>
      <c r="G99" s="468" t="e">
        <f>H76-H68</f>
        <v>#REF!</v>
      </c>
      <c r="H99" s="468" t="e">
        <f>H76-H68</f>
        <v>#REF!</v>
      </c>
      <c r="I99" s="468" t="e">
        <f>J76-J68</f>
        <v>#REF!</v>
      </c>
      <c r="J99" s="468" t="e">
        <f>J76-J68</f>
        <v>#REF!</v>
      </c>
      <c r="K99" s="468" t="e">
        <f>L76-L68</f>
        <v>#REF!</v>
      </c>
      <c r="L99" s="1164" t="e">
        <f>L76-L68</f>
        <v>#REF!</v>
      </c>
      <c r="M99" s="1164"/>
      <c r="N99" s="469"/>
    </row>
    <row r="100" spans="2:22" ht="15.2" thickBot="1" x14ac:dyDescent="0.3">
      <c r="B100" s="74"/>
      <c r="C100" s="74"/>
      <c r="D100" s="74"/>
      <c r="E100" s="460"/>
      <c r="F100" s="460"/>
      <c r="G100" s="474"/>
      <c r="H100" s="74"/>
    </row>
    <row r="101" spans="2:22" ht="14.55" x14ac:dyDescent="0.25">
      <c r="B101" s="392"/>
      <c r="C101" s="1188"/>
      <c r="D101" s="475" t="s">
        <v>148</v>
      </c>
      <c r="E101" s="393"/>
      <c r="F101" s="469"/>
      <c r="G101" s="74"/>
      <c r="H101" s="476" t="e">
        <f>IF(G99=0,0,G96+((G97*G98)/G99))</f>
        <v>#REF!</v>
      </c>
      <c r="J101" s="476" t="e">
        <f>IF(I99=0,0,I96+((I97*I98)/I99))</f>
        <v>#REF!</v>
      </c>
      <c r="L101" s="1165" t="e">
        <f>IF(K99=0,0,K96+((K97*K98)/K99))</f>
        <v>#REF!</v>
      </c>
      <c r="M101" s="1166"/>
      <c r="N101" s="469"/>
    </row>
    <row r="102" spans="2:22" ht="14.55" x14ac:dyDescent="0.25">
      <c r="B102" s="394" t="s">
        <v>359</v>
      </c>
      <c r="C102" s="1188"/>
      <c r="D102" s="475" t="s">
        <v>339</v>
      </c>
      <c r="E102" s="393"/>
      <c r="F102" s="469"/>
      <c r="G102" s="74"/>
      <c r="H102" s="477" t="e">
        <f>((H105-H101)*0.25)+H101</f>
        <v>#REF!</v>
      </c>
      <c r="J102" s="477" t="e">
        <f>((J105-J101)*0.25)+J101</f>
        <v>#REF!</v>
      </c>
      <c r="L102" s="1167" t="e">
        <f>((L105-L101)*0.25)+L101</f>
        <v>#REF!</v>
      </c>
      <c r="M102" s="1168"/>
      <c r="N102" s="469"/>
    </row>
    <row r="103" spans="2:22" ht="14.55" x14ac:dyDescent="0.25">
      <c r="B103" s="394"/>
      <c r="C103" s="1188"/>
      <c r="D103" s="475" t="s">
        <v>340</v>
      </c>
      <c r="E103" s="393"/>
      <c r="F103" s="469"/>
      <c r="G103" s="74"/>
      <c r="H103" s="477" t="e">
        <f>(H105+H101)/2</f>
        <v>#REF!</v>
      </c>
      <c r="J103" s="477" t="e">
        <f>(J105+J101)/2</f>
        <v>#REF!</v>
      </c>
      <c r="L103" s="1167" t="e">
        <f>(L105+L101)/2</f>
        <v>#REF!</v>
      </c>
      <c r="M103" s="1168"/>
      <c r="N103" s="469"/>
    </row>
    <row r="104" spans="2:22" ht="14.55" x14ac:dyDescent="0.25">
      <c r="B104" s="394" t="s">
        <v>360</v>
      </c>
      <c r="C104" s="1188"/>
      <c r="D104" s="475" t="s">
        <v>341</v>
      </c>
      <c r="E104" s="393"/>
      <c r="F104" s="469"/>
      <c r="G104" s="74"/>
      <c r="H104" s="477" t="e">
        <f>((H105-H101)*0.75)+H101</f>
        <v>#REF!</v>
      </c>
      <c r="J104" s="477" t="e">
        <f>((J105-J101)*0.75)+J101</f>
        <v>#REF!</v>
      </c>
      <c r="L104" s="1167" t="e">
        <f>((L105-L101)*0.75)+L101</f>
        <v>#REF!</v>
      </c>
      <c r="M104" s="1168"/>
      <c r="N104" s="469"/>
    </row>
    <row r="105" spans="2:22" ht="15.2" thickBot="1" x14ac:dyDescent="0.3">
      <c r="B105" s="395"/>
      <c r="C105" s="1188"/>
      <c r="D105" s="475" t="s">
        <v>342</v>
      </c>
      <c r="E105" s="393"/>
      <c r="F105" s="469"/>
      <c r="G105" s="74"/>
      <c r="H105" s="478" t="e">
        <f>IF(H99=0,0,H96+((H97*H98)/H99))</f>
        <v>#REF!</v>
      </c>
      <c r="J105" s="478" t="e">
        <f>IF(J99=0,0,J96+((J97*J98)/J99))</f>
        <v>#REF!</v>
      </c>
      <c r="L105" s="1169" t="e">
        <f>IF(L99=0,0,L96+((L97*L98)/L99))</f>
        <v>#REF!</v>
      </c>
      <c r="M105" s="1170"/>
      <c r="N105" s="469"/>
    </row>
    <row r="107" spans="2:22" ht="15.2" thickBot="1" x14ac:dyDescent="0.35">
      <c r="B107" s="74"/>
      <c r="C107" s="74"/>
      <c r="D107" s="74"/>
      <c r="E107" s="74"/>
      <c r="F107" s="74"/>
      <c r="G107" s="1179" t="s">
        <v>343</v>
      </c>
      <c r="H107" s="1179"/>
      <c r="I107" s="1180" t="s">
        <v>344</v>
      </c>
      <c r="J107" s="1180"/>
      <c r="K107" s="1185" t="s">
        <v>345</v>
      </c>
      <c r="L107" s="1185"/>
      <c r="M107" s="1185"/>
      <c r="N107" s="449"/>
    </row>
    <row r="108" spans="2:22" ht="15.2" thickBot="1" x14ac:dyDescent="0.3">
      <c r="B108" s="1227" t="s">
        <v>361</v>
      </c>
      <c r="C108" s="1228"/>
      <c r="D108" s="1228"/>
      <c r="E108" s="1229"/>
      <c r="F108" s="74"/>
      <c r="G108" s="479" t="e">
        <f>G62</f>
        <v>#REF!</v>
      </c>
      <c r="H108" s="480" t="e">
        <f>IF($G$63="Basishonorarsatz",H101,IF($G$63="Viertelsatz",H102,IF($G$63="Mittelsatz",H103,IF($G$63="Dreiviertelsatz",H104,H105))))</f>
        <v>#REF!</v>
      </c>
      <c r="I108" s="532"/>
      <c r="J108" s="533" t="e">
        <f>IF($G$63="Basishonorarsatz",J101,IF($G$63="Viertelsatz",J102,IF($G$63="Mittelsatz",J103,IF($G$63="Dreiviertelsatz",J104,J105))))</f>
        <v>#REF!</v>
      </c>
      <c r="K108" s="532"/>
      <c r="L108" s="1235" t="e">
        <f>IF($G$63="Basishonorarsatz",L101,IF($G$63="Viertelsatz",L102,IF($G$63="Mittelsatz",L103,IF($G$63="Dreiviertelsatz",L104,L105))))</f>
        <v>#REF!</v>
      </c>
      <c r="M108" s="1236"/>
      <c r="N108" s="534"/>
    </row>
    <row r="109" spans="2:22" ht="14.55" thickBot="1" x14ac:dyDescent="0.3">
      <c r="B109" s="73" t="s">
        <v>125</v>
      </c>
    </row>
    <row r="110" spans="2:22" ht="15" customHeight="1" thickBot="1" x14ac:dyDescent="0.3">
      <c r="B110" s="73" t="s">
        <v>362</v>
      </c>
      <c r="G110" s="487"/>
      <c r="H110" s="1267" t="s">
        <v>363</v>
      </c>
      <c r="I110" s="1268"/>
      <c r="J110" s="1268"/>
      <c r="K110" s="1269"/>
      <c r="L110" s="583"/>
      <c r="M110" s="584"/>
    </row>
    <row r="111" spans="2:22" ht="14.55" thickBot="1" x14ac:dyDescent="0.3">
      <c r="B111" s="73" t="s">
        <v>364</v>
      </c>
      <c r="G111" s="488"/>
      <c r="H111" s="1270" t="s">
        <v>487</v>
      </c>
      <c r="I111" s="1271"/>
      <c r="J111" s="1186" t="s">
        <v>366</v>
      </c>
      <c r="K111" s="1187"/>
      <c r="L111" s="543"/>
      <c r="M111" s="543"/>
      <c r="T111" s="383"/>
      <c r="U111" s="383"/>
      <c r="V111" s="383"/>
    </row>
    <row r="112" spans="2:22" ht="14.55" x14ac:dyDescent="0.3">
      <c r="B112" s="73" t="s">
        <v>369</v>
      </c>
      <c r="G112" s="489">
        <v>1</v>
      </c>
      <c r="H112" s="1272" t="e">
        <f>IF(#REF!="ja",#REF!,0)</f>
        <v>#REF!</v>
      </c>
      <c r="I112" s="1273"/>
      <c r="J112" s="1283" t="e">
        <f>IF(#REF!="ja",#REF!,0)</f>
        <v>#REF!</v>
      </c>
      <c r="K112" s="1284"/>
      <c r="L112" s="543"/>
      <c r="M112" s="543"/>
      <c r="T112" s="384"/>
      <c r="U112" s="384"/>
      <c r="V112" s="384"/>
    </row>
    <row r="113" spans="2:22" ht="14.55" x14ac:dyDescent="0.3">
      <c r="G113" s="491">
        <v>2</v>
      </c>
      <c r="H113" s="1158" t="e">
        <f>IF(#REF!="ja",#REF!,0)</f>
        <v>#REF!</v>
      </c>
      <c r="I113" s="1159"/>
      <c r="J113" s="1160" t="e">
        <f>IF(#REF!="ja",#REF!,0)</f>
        <v>#REF!</v>
      </c>
      <c r="K113" s="1161"/>
      <c r="L113" s="543"/>
      <c r="M113" s="543"/>
      <c r="T113" s="385"/>
      <c r="U113" s="274"/>
      <c r="V113" s="385"/>
    </row>
    <row r="114" spans="2:22" ht="14.55" x14ac:dyDescent="0.3">
      <c r="B114" s="73" t="s">
        <v>125</v>
      </c>
      <c r="G114" s="491">
        <v>3</v>
      </c>
      <c r="H114" s="1158" t="e">
        <f>IF(#REF!="ja",#REF!,0)</f>
        <v>#REF!</v>
      </c>
      <c r="I114" s="1159"/>
      <c r="J114" s="1160" t="e">
        <f>IF(#REF!="ja",#REF!,0)</f>
        <v>#REF!</v>
      </c>
      <c r="K114" s="1161"/>
      <c r="L114" s="543"/>
      <c r="M114" s="543"/>
      <c r="T114" s="273"/>
      <c r="U114" s="274"/>
      <c r="V114" s="275"/>
    </row>
    <row r="115" spans="2:22" ht="14.55" x14ac:dyDescent="0.3">
      <c r="B115" s="73" t="s">
        <v>370</v>
      </c>
      <c r="G115" s="491">
        <v>4</v>
      </c>
      <c r="H115" s="1158" t="e">
        <f>IF(#REF!="ja",#REF!,0)</f>
        <v>#REF!</v>
      </c>
      <c r="I115" s="1159"/>
      <c r="J115" s="1160" t="e">
        <f>IF(#REF!="ja",#REF!,0)</f>
        <v>#REF!</v>
      </c>
      <c r="K115" s="1161"/>
      <c r="L115" s="543"/>
      <c r="M115" s="543"/>
      <c r="T115" s="273"/>
      <c r="U115" s="274"/>
      <c r="V115" s="275"/>
    </row>
    <row r="116" spans="2:22" ht="14.55" x14ac:dyDescent="0.3">
      <c r="G116" s="491" t="s">
        <v>371</v>
      </c>
      <c r="H116" s="1158" t="e">
        <f>IF(#REF!="ja",#REF!,0)</f>
        <v>#REF!</v>
      </c>
      <c r="I116" s="1159"/>
      <c r="J116" s="1160" t="e">
        <f>IF(#REF!="ja",#REF!,0)</f>
        <v>#REF!</v>
      </c>
      <c r="K116" s="1161"/>
      <c r="L116" s="543"/>
      <c r="M116" s="543"/>
      <c r="T116" s="273"/>
      <c r="U116" s="274"/>
      <c r="V116" s="275"/>
    </row>
    <row r="117" spans="2:22" ht="14.55" x14ac:dyDescent="0.3">
      <c r="G117" s="491" t="s">
        <v>372</v>
      </c>
      <c r="H117" s="1158" t="e">
        <f>IF(#REF!="ja",#REF!,0)</f>
        <v>#REF!</v>
      </c>
      <c r="I117" s="1159"/>
      <c r="J117" s="1160" t="e">
        <f>IF(#REF!="ja",#REF!,0)</f>
        <v>#REF!</v>
      </c>
      <c r="K117" s="1161"/>
      <c r="L117" s="543"/>
      <c r="M117" s="543"/>
      <c r="T117" s="273"/>
      <c r="U117" s="274"/>
      <c r="V117" s="275"/>
    </row>
    <row r="118" spans="2:22" ht="14.55" x14ac:dyDescent="0.3">
      <c r="G118" s="491" t="s">
        <v>373</v>
      </c>
      <c r="H118" s="1158" t="e">
        <f>IF(#REF!="ja",#REF!,0)</f>
        <v>#REF!</v>
      </c>
      <c r="I118" s="1159"/>
      <c r="J118" s="1160" t="e">
        <f>IF(#REF!="ja",#REF!,0)</f>
        <v>#REF!</v>
      </c>
      <c r="K118" s="1161"/>
      <c r="L118" s="543"/>
      <c r="M118" s="543"/>
      <c r="T118" s="273"/>
      <c r="U118" s="274"/>
      <c r="V118" s="275"/>
    </row>
    <row r="119" spans="2:22" ht="14.55" x14ac:dyDescent="0.3">
      <c r="G119" s="491" t="s">
        <v>374</v>
      </c>
      <c r="H119" s="1158" t="e">
        <f>IF(#REF!="ja",#REF!,0)</f>
        <v>#REF!</v>
      </c>
      <c r="I119" s="1159"/>
      <c r="J119" s="1160" t="e">
        <f>IF(#REF!="ja",#REF!+#REF!+#REF!,0)</f>
        <v>#REF!</v>
      </c>
      <c r="K119" s="1161"/>
      <c r="L119" s="543"/>
      <c r="M119" s="543"/>
      <c r="T119" s="273"/>
      <c r="U119" s="274"/>
      <c r="V119" s="275"/>
    </row>
    <row r="120" spans="2:22" ht="14.55" x14ac:dyDescent="0.3">
      <c r="G120" s="491" t="s">
        <v>375</v>
      </c>
      <c r="H120" s="1158" t="e">
        <f>IF(#REF!="ja",#REF!,0)</f>
        <v>#REF!</v>
      </c>
      <c r="I120" s="1159"/>
      <c r="J120" s="1160" t="e">
        <f>IF(#REF!="ja",#REF!,0)</f>
        <v>#REF!</v>
      </c>
      <c r="K120" s="1161"/>
      <c r="L120" s="543"/>
      <c r="M120" s="543"/>
      <c r="T120" s="273"/>
      <c r="U120" s="274"/>
      <c r="V120" s="275"/>
    </row>
    <row r="121" spans="2:22" ht="14.55" x14ac:dyDescent="0.3">
      <c r="G121" s="491" t="s">
        <v>376</v>
      </c>
      <c r="H121" s="1158" t="e">
        <f>IF(#REF!="ja",#REF!,0)</f>
        <v>#REF!</v>
      </c>
      <c r="I121" s="1159"/>
      <c r="J121" s="1160" t="e">
        <f>IF(#REF!="ja",#REF!,0)</f>
        <v>#REF!</v>
      </c>
      <c r="K121" s="1161"/>
      <c r="L121" s="543"/>
      <c r="M121" s="543"/>
      <c r="T121" s="273"/>
      <c r="U121" s="274"/>
      <c r="V121" s="275"/>
    </row>
    <row r="122" spans="2:22" ht="14.55" x14ac:dyDescent="0.3">
      <c r="G122" s="492">
        <v>6</v>
      </c>
      <c r="H122" s="1158" t="e">
        <f>IF(#REF!="ja",#REF!,0)</f>
        <v>#REF!</v>
      </c>
      <c r="I122" s="1159"/>
      <c r="J122" s="1160" t="e">
        <f>IF(#REF!="ja",#REF!,0)</f>
        <v>#REF!</v>
      </c>
      <c r="K122" s="1161"/>
      <c r="L122" s="543"/>
      <c r="M122" s="543"/>
      <c r="T122" s="273"/>
      <c r="U122" s="274"/>
      <c r="V122" s="275"/>
    </row>
    <row r="123" spans="2:22" ht="14.55" x14ac:dyDescent="0.3">
      <c r="G123" s="492">
        <v>7</v>
      </c>
      <c r="H123" s="1158" t="e">
        <f>IF(#REF!="ja",#REF!,0)</f>
        <v>#REF!</v>
      </c>
      <c r="I123" s="1159"/>
      <c r="J123" s="1160" t="e">
        <f>IF(#REF!="ja",#REF!,0)</f>
        <v>#REF!</v>
      </c>
      <c r="K123" s="1161"/>
      <c r="L123" s="543"/>
      <c r="M123" s="543"/>
      <c r="T123" s="273"/>
      <c r="U123" s="274"/>
      <c r="V123" s="275"/>
    </row>
    <row r="124" spans="2:22" ht="14.55" x14ac:dyDescent="0.3">
      <c r="G124" s="492">
        <v>8</v>
      </c>
      <c r="H124" s="1158" t="e">
        <f>IF(#REF!="ja",#REF!,0)</f>
        <v>#REF!</v>
      </c>
      <c r="I124" s="1159"/>
      <c r="J124" s="1160" t="e">
        <f>IF(#REF!="ja",#REF!,0)</f>
        <v>#REF!</v>
      </c>
      <c r="K124" s="1161"/>
      <c r="L124" s="543"/>
      <c r="M124" s="543"/>
      <c r="T124" s="273"/>
      <c r="U124" s="274"/>
      <c r="V124" s="275"/>
    </row>
    <row r="125" spans="2:22" ht="15.2" thickBot="1" x14ac:dyDescent="0.35">
      <c r="G125" s="493">
        <v>9</v>
      </c>
      <c r="H125" s="1158" t="e">
        <f>IF(#REF!="ja",#REF!,0)</f>
        <v>#REF!</v>
      </c>
      <c r="I125" s="1159"/>
      <c r="J125" s="1162" t="e">
        <f>IF(#REF!="ja",#REF!,0)</f>
        <v>#REF!</v>
      </c>
      <c r="K125" s="1163"/>
      <c r="L125" s="543"/>
      <c r="M125" s="543"/>
      <c r="T125" s="273"/>
      <c r="U125" s="274"/>
      <c r="V125" s="275"/>
    </row>
    <row r="126" spans="2:22" ht="15.2" thickBot="1" x14ac:dyDescent="0.35">
      <c r="G126" s="494" t="s">
        <v>377</v>
      </c>
      <c r="H126" s="1216" t="e">
        <f>SUM(H112:I125)</f>
        <v>#REF!</v>
      </c>
      <c r="I126" s="1217"/>
      <c r="J126" s="1220" t="e">
        <f>SUM(J112:K125)</f>
        <v>#REF!</v>
      </c>
      <c r="K126" s="1221"/>
      <c r="L126" s="564"/>
      <c r="M126" s="564"/>
      <c r="T126" s="273"/>
      <c r="U126" s="274"/>
      <c r="V126" s="275"/>
    </row>
    <row r="127" spans="2:22" ht="14.25" customHeight="1" thickBot="1" x14ac:dyDescent="0.35">
      <c r="G127" s="494" t="s">
        <v>488</v>
      </c>
      <c r="H127" s="1214" t="e">
        <f>H126*#REF!+H126</f>
        <v>#REF!</v>
      </c>
      <c r="I127" s="1215"/>
      <c r="J127" s="542"/>
      <c r="T127" s="273"/>
      <c r="U127" s="274"/>
      <c r="V127" s="275"/>
    </row>
    <row r="128" spans="2:22" ht="14.55" x14ac:dyDescent="0.3">
      <c r="K128" s="543"/>
      <c r="T128" s="273"/>
      <c r="U128" s="274"/>
      <c r="V128" s="275"/>
    </row>
    <row r="129" spans="2:22" ht="15.2" thickBot="1" x14ac:dyDescent="0.35">
      <c r="T129" s="273"/>
      <c r="U129" s="274"/>
      <c r="V129" s="275"/>
    </row>
    <row r="130" spans="2:22" ht="15.2" thickBot="1" x14ac:dyDescent="0.35">
      <c r="B130" s="544" t="s">
        <v>115</v>
      </c>
      <c r="C130" s="498" t="s">
        <v>306</v>
      </c>
      <c r="D130" s="499" t="s">
        <v>307</v>
      </c>
      <c r="E130" s="499" t="s">
        <v>308</v>
      </c>
      <c r="F130" s="499" t="s">
        <v>309</v>
      </c>
      <c r="G130" s="499" t="s">
        <v>310</v>
      </c>
      <c r="H130" s="499" t="s">
        <v>311</v>
      </c>
      <c r="I130" s="499" t="s">
        <v>312</v>
      </c>
      <c r="J130" s="499" t="s">
        <v>313</v>
      </c>
      <c r="K130" s="499" t="s">
        <v>314</v>
      </c>
      <c r="L130" s="499" t="s">
        <v>315</v>
      </c>
      <c r="M130" s="499" t="s">
        <v>316</v>
      </c>
      <c r="N130" s="499" t="s">
        <v>317</v>
      </c>
      <c r="O130" s="499" t="s">
        <v>318</v>
      </c>
      <c r="P130" s="499" t="s">
        <v>379</v>
      </c>
      <c r="Q130" s="545" t="s">
        <v>380</v>
      </c>
      <c r="T130" s="273"/>
      <c r="U130" s="274"/>
      <c r="V130" s="275"/>
    </row>
    <row r="131" spans="2:22" ht="14.55" x14ac:dyDescent="0.3">
      <c r="B131" s="501">
        <f>IF(Überblick!$H$53&gt;=1,1,"")</f>
        <v>1</v>
      </c>
      <c r="C131" s="587" t="e">
        <f>IF($B131=#REF!,#REF!*#REF!+#REF!+#REF!,0)</f>
        <v>#REF!</v>
      </c>
      <c r="D131" s="547" t="e">
        <f>IF($B131=#REF!,#REF!*#REF!+#REF!+#REF!,0)</f>
        <v>#REF!</v>
      </c>
      <c r="E131" s="547" t="e">
        <f>IF($B131=#REF!,#REF!*#REF!+#REF!+#REF!,0)</f>
        <v>#REF!</v>
      </c>
      <c r="F131" s="547" t="e">
        <f>IF($B131=#REF!,#REF!*#REF!+#REF!+#REF!,0)</f>
        <v>#REF!</v>
      </c>
      <c r="G131" s="547" t="e">
        <f>IF($B131=#REF!,#REF!*#REF!+#REF!+#REF!,0)</f>
        <v>#REF!</v>
      </c>
      <c r="H131" s="547" t="e">
        <f>IF($B131=#REF!,#REF!*#REF!+#REF!+#REF!,0)</f>
        <v>#REF!</v>
      </c>
      <c r="I131" s="547" t="e">
        <f>IF($B131=#REF!,#REF!*#REF!+#REF!+#REF!,0)</f>
        <v>#REF!</v>
      </c>
      <c r="J131" s="547" t="e">
        <f>IF($B131=#REF!,#REF!*#REF!+#REF!+#REF!+#REF!+#REF!,0)</f>
        <v>#REF!</v>
      </c>
      <c r="K131" s="547" t="e">
        <f>IF($B131=#REF!,#REF!*#REF!+#REF!+#REF!,0)</f>
        <v>#REF!</v>
      </c>
      <c r="L131" s="547" t="e">
        <f>IF($B131=#REF!,#REF!*#REF!+#REF!+#REF!,0)</f>
        <v>#REF!</v>
      </c>
      <c r="M131" s="547" t="e">
        <f>IF($B131=#REF!,#REF!*#REF!+#REF!+#REF!,0)</f>
        <v>#REF!</v>
      </c>
      <c r="N131" s="547" t="e">
        <f>IF($B131=#REF!,#REF!*#REF!+#REF!+#REF!,0)</f>
        <v>#REF!</v>
      </c>
      <c r="O131" s="547" t="e">
        <f>IF($B131=#REF!,#REF!*#REF!+#REF!+#REF!,0)</f>
        <v>#REF!</v>
      </c>
      <c r="P131" s="547" t="e">
        <f>IF($B131=#REF!,#REF!*#REF!+#REF!+#REF!,0)</f>
        <v>#REF!</v>
      </c>
      <c r="Q131" s="588" t="e">
        <f t="shared" ref="Q131:Q138" si="8">SUM(C131:P131)</f>
        <v>#REF!</v>
      </c>
      <c r="T131" s="273"/>
      <c r="U131" s="274"/>
      <c r="V131" s="275"/>
    </row>
    <row r="132" spans="2:22" ht="14.55" x14ac:dyDescent="0.3">
      <c r="B132" s="505">
        <f>IF(Überblick!$H$53&gt;=2,2,"")</f>
        <v>2</v>
      </c>
      <c r="C132" s="589" t="e">
        <f>IF($B132=#REF!,#REF!*#REF!+#REF!+#REF!,0)</f>
        <v>#REF!</v>
      </c>
      <c r="D132" s="551" t="e">
        <f>IF($B132=#REF!,#REF!*#REF!+#REF!+#REF!,0)</f>
        <v>#REF!</v>
      </c>
      <c r="E132" s="551" t="e">
        <f>IF($B132=#REF!,#REF!*#REF!+#REF!+#REF!,0)</f>
        <v>#REF!</v>
      </c>
      <c r="F132" s="551" t="e">
        <f>IF($B132=#REF!,#REF!*#REF!+#REF!+#REF!,0)</f>
        <v>#REF!</v>
      </c>
      <c r="G132" s="551" t="e">
        <f>IF($B132=#REF!,#REF!*#REF!+#REF!+#REF!,0)</f>
        <v>#REF!</v>
      </c>
      <c r="H132" s="551" t="e">
        <f>IF($B132=#REF!,#REF!*#REF!+#REF!+#REF!,0)</f>
        <v>#REF!</v>
      </c>
      <c r="I132" s="551" t="e">
        <f>IF($B132=#REF!,#REF!*#REF!+#REF!+#REF!,0)</f>
        <v>#REF!</v>
      </c>
      <c r="J132" s="551" t="e">
        <f>IF($B132=#REF!,#REF!*#REF!+#REF!+#REF!+#REF!+#REF!,0)</f>
        <v>#REF!</v>
      </c>
      <c r="K132" s="551" t="e">
        <f>IF($B132=#REF!,#REF!*#REF!+#REF!+#REF!,0)</f>
        <v>#REF!</v>
      </c>
      <c r="L132" s="551" t="e">
        <f>IF($B132=#REF!,#REF!*#REF!+#REF!+#REF!,0)</f>
        <v>#REF!</v>
      </c>
      <c r="M132" s="551" t="e">
        <f>IF($B132=#REF!,#REF!*#REF!+#REF!+#REF!,0)</f>
        <v>#REF!</v>
      </c>
      <c r="N132" s="551" t="e">
        <f>IF($B132=#REF!,#REF!*#REF!+#REF!+#REF!,0)</f>
        <v>#REF!</v>
      </c>
      <c r="O132" s="551" t="e">
        <f>IF($B132=#REF!,#REF!*#REF!+#REF!+#REF!,0)</f>
        <v>#REF!</v>
      </c>
      <c r="P132" s="551" t="e">
        <f>IF($B132=#REF!,#REF!*#REF!+#REF!+#REF!,0)</f>
        <v>#REF!</v>
      </c>
      <c r="Q132" s="590" t="e">
        <f t="shared" si="8"/>
        <v>#REF!</v>
      </c>
      <c r="T132" s="273"/>
      <c r="U132" s="274"/>
      <c r="V132" s="275"/>
    </row>
    <row r="133" spans="2:22" ht="14.55" x14ac:dyDescent="0.3">
      <c r="B133" s="505">
        <f>IF(Überblick!$H$53&gt;=3,3,"")</f>
        <v>3</v>
      </c>
      <c r="C133" s="589" t="e">
        <f>IF($B133=#REF!,#REF!*#REF!+#REF!+#REF!,0)</f>
        <v>#REF!</v>
      </c>
      <c r="D133" s="551" t="e">
        <f>IF($B133=#REF!,#REF!*#REF!+#REF!+#REF!,0)</f>
        <v>#REF!</v>
      </c>
      <c r="E133" s="551" t="e">
        <f>IF($B133=#REF!,#REF!*#REF!+#REF!+#REF!,0)</f>
        <v>#REF!</v>
      </c>
      <c r="F133" s="551" t="e">
        <f>IF($B133=#REF!,#REF!*#REF!+#REF!+#REF!,0)</f>
        <v>#REF!</v>
      </c>
      <c r="G133" s="551" t="e">
        <f>IF($B133=#REF!,#REF!*#REF!+#REF!+#REF!,0)</f>
        <v>#REF!</v>
      </c>
      <c r="H133" s="551" t="e">
        <f>IF($B133=#REF!,#REF!*#REF!+#REF!+#REF!,0)</f>
        <v>#REF!</v>
      </c>
      <c r="I133" s="551" t="e">
        <f>IF($B133=#REF!,#REF!*#REF!+#REF!+#REF!,0)</f>
        <v>#REF!</v>
      </c>
      <c r="J133" s="551" t="e">
        <f>IF($B133=#REF!,#REF!*#REF!+#REF!+#REF!+#REF!+#REF!,0)</f>
        <v>#REF!</v>
      </c>
      <c r="K133" s="551" t="e">
        <f>IF($B133=#REF!,#REF!*#REF!+#REF!+#REF!,0)</f>
        <v>#REF!</v>
      </c>
      <c r="L133" s="551" t="e">
        <f>IF($B133=#REF!,#REF!*#REF!+#REF!+#REF!,0)</f>
        <v>#REF!</v>
      </c>
      <c r="M133" s="551" t="e">
        <f>IF($B133=#REF!,#REF!*#REF!+#REF!+#REF!,0)</f>
        <v>#REF!</v>
      </c>
      <c r="N133" s="551" t="e">
        <f>IF($B133=#REF!,#REF!*#REF!+#REF!+#REF!,0)</f>
        <v>#REF!</v>
      </c>
      <c r="O133" s="551" t="e">
        <f>IF($B133=#REF!,#REF!*#REF!+#REF!+#REF!,0)</f>
        <v>#REF!</v>
      </c>
      <c r="P133" s="551" t="e">
        <f>IF($B133=#REF!,#REF!*#REF!+#REF!+#REF!,0)</f>
        <v>#REF!</v>
      </c>
      <c r="Q133" s="590" t="e">
        <f t="shared" si="8"/>
        <v>#REF!</v>
      </c>
      <c r="T133" s="273"/>
      <c r="U133" s="274"/>
      <c r="V133" s="275"/>
    </row>
    <row r="134" spans="2:22" ht="14.55" x14ac:dyDescent="0.3">
      <c r="B134" s="505" t="str">
        <f>IF(Überblick!$H$53&gt;=4,4,"")</f>
        <v/>
      </c>
      <c r="C134" s="589" t="e">
        <f>IF($B134=#REF!,#REF!*#REF!+#REF!+#REF!,0)</f>
        <v>#REF!</v>
      </c>
      <c r="D134" s="551" t="e">
        <f>IF($B134=#REF!,#REF!*#REF!+#REF!+#REF!,0)</f>
        <v>#REF!</v>
      </c>
      <c r="E134" s="551" t="e">
        <f>IF($B134=#REF!,#REF!*#REF!+#REF!+#REF!,0)</f>
        <v>#REF!</v>
      </c>
      <c r="F134" s="551" t="e">
        <f>IF($B134=#REF!,#REF!*#REF!+#REF!+#REF!,0)</f>
        <v>#REF!</v>
      </c>
      <c r="G134" s="551" t="e">
        <f>IF($B134=#REF!,#REF!*#REF!+#REF!+#REF!,0)</f>
        <v>#REF!</v>
      </c>
      <c r="H134" s="551" t="e">
        <f>IF($B134=#REF!,#REF!*#REF!+#REF!+#REF!,0)</f>
        <v>#REF!</v>
      </c>
      <c r="I134" s="551" t="e">
        <f>IF($B134=#REF!,#REF!*#REF!+#REF!+#REF!,0)</f>
        <v>#REF!</v>
      </c>
      <c r="J134" s="551" t="e">
        <f>IF($B134=#REF!,#REF!*#REF!+#REF!+#REF!+#REF!+#REF!,0)</f>
        <v>#REF!</v>
      </c>
      <c r="K134" s="551" t="e">
        <f>IF($B134=#REF!,#REF!*#REF!+#REF!+#REF!,0)</f>
        <v>#REF!</v>
      </c>
      <c r="L134" s="551" t="e">
        <f>IF($B134=#REF!,#REF!*#REF!+#REF!+#REF!,0)</f>
        <v>#REF!</v>
      </c>
      <c r="M134" s="551" t="e">
        <f>IF($B134=#REF!,#REF!*#REF!+#REF!+#REF!,0)</f>
        <v>#REF!</v>
      </c>
      <c r="N134" s="551" t="e">
        <f>IF($B134=#REF!,#REF!*#REF!+#REF!+#REF!,0)</f>
        <v>#REF!</v>
      </c>
      <c r="O134" s="551" t="e">
        <f>IF($B134=#REF!,#REF!*#REF!+#REF!+#REF!,0)</f>
        <v>#REF!</v>
      </c>
      <c r="P134" s="551" t="e">
        <f>IF($B134=#REF!,#REF!*#REF!+#REF!+#REF!,0)</f>
        <v>#REF!</v>
      </c>
      <c r="Q134" s="590" t="e">
        <f>SUM(C134:P134)</f>
        <v>#REF!</v>
      </c>
      <c r="T134" s="273"/>
      <c r="U134" s="274"/>
      <c r="V134" s="275"/>
    </row>
    <row r="135" spans="2:22" ht="14.55" x14ac:dyDescent="0.3">
      <c r="B135" s="505" t="str">
        <f>IF(Überblick!$H$53&gt;=5,5,"")</f>
        <v/>
      </c>
      <c r="C135" s="589" t="e">
        <f>IF($B135=#REF!,#REF!*#REF!+#REF!+#REF!,0)</f>
        <v>#REF!</v>
      </c>
      <c r="D135" s="551" t="e">
        <f>IF($B135=#REF!,#REF!*#REF!+#REF!+#REF!,0)</f>
        <v>#REF!</v>
      </c>
      <c r="E135" s="551" t="e">
        <f>IF($B135=#REF!,#REF!*#REF!+#REF!+#REF!,0)</f>
        <v>#REF!</v>
      </c>
      <c r="F135" s="551" t="e">
        <f>IF($B135=#REF!,#REF!*#REF!+#REF!+#REF!,0)</f>
        <v>#REF!</v>
      </c>
      <c r="G135" s="551" t="e">
        <f>IF($B135=#REF!,#REF!*#REF!+#REF!+#REF!,0)</f>
        <v>#REF!</v>
      </c>
      <c r="H135" s="551" t="e">
        <f>IF($B135=#REF!,#REF!*#REF!+#REF!+#REF!,0)</f>
        <v>#REF!</v>
      </c>
      <c r="I135" s="551" t="e">
        <f>IF($B135=#REF!,#REF!*#REF!+#REF!+#REF!,0)</f>
        <v>#REF!</v>
      </c>
      <c r="J135" s="551" t="e">
        <f>IF($B135=#REF!,#REF!*#REF!+#REF!+#REF!+#REF!+#REF!,0)</f>
        <v>#REF!</v>
      </c>
      <c r="K135" s="551" t="e">
        <f>IF($B135=#REF!,#REF!*#REF!+#REF!+#REF!,0)</f>
        <v>#REF!</v>
      </c>
      <c r="L135" s="551" t="e">
        <f>IF($B135=#REF!,#REF!*#REF!+#REF!+#REF!,0)</f>
        <v>#REF!</v>
      </c>
      <c r="M135" s="551" t="e">
        <f>IF($B135=#REF!,#REF!*#REF!+#REF!+#REF!,0)</f>
        <v>#REF!</v>
      </c>
      <c r="N135" s="551" t="e">
        <f>IF($B135=#REF!,#REF!*#REF!+#REF!+#REF!,0)</f>
        <v>#REF!</v>
      </c>
      <c r="O135" s="551" t="e">
        <f>IF($B135=#REF!,#REF!*#REF!+#REF!+#REF!,0)</f>
        <v>#REF!</v>
      </c>
      <c r="P135" s="551" t="e">
        <f>IF($B135=#REF!,#REF!*#REF!+#REF!+#REF!,0)</f>
        <v>#REF!</v>
      </c>
      <c r="Q135" s="590" t="e">
        <f t="shared" si="8"/>
        <v>#REF!</v>
      </c>
      <c r="T135" s="273"/>
      <c r="U135" s="274"/>
      <c r="V135" s="275"/>
    </row>
    <row r="136" spans="2:22" ht="14.55" x14ac:dyDescent="0.3">
      <c r="B136" s="505" t="str">
        <f>IF(Überblick!$H$53&gt;=6,6,"")</f>
        <v/>
      </c>
      <c r="C136" s="589" t="e">
        <f>IF($B136=#REF!,#REF!*#REF!+#REF!+#REF!,0)</f>
        <v>#REF!</v>
      </c>
      <c r="D136" s="551" t="e">
        <f>IF($B136=#REF!,#REF!*#REF!+#REF!+#REF!,0)</f>
        <v>#REF!</v>
      </c>
      <c r="E136" s="551" t="e">
        <f>IF($B136=#REF!,#REF!*#REF!+#REF!+#REF!,0)</f>
        <v>#REF!</v>
      </c>
      <c r="F136" s="551" t="e">
        <f>IF($B136=#REF!,#REF!*#REF!+#REF!+#REF!,0)</f>
        <v>#REF!</v>
      </c>
      <c r="G136" s="551" t="e">
        <f>IF($B136=#REF!,#REF!*#REF!+#REF!+#REF!,0)</f>
        <v>#REF!</v>
      </c>
      <c r="H136" s="551" t="e">
        <f>IF($B136=#REF!,#REF!*#REF!+#REF!+#REF!,0)</f>
        <v>#REF!</v>
      </c>
      <c r="I136" s="551" t="e">
        <f>IF($B136=#REF!,#REF!*#REF!+#REF!+#REF!,0)</f>
        <v>#REF!</v>
      </c>
      <c r="J136" s="551" t="e">
        <f>IF($B136=#REF!,#REF!*#REF!+#REF!+#REF!+#REF!+#REF!,0)</f>
        <v>#REF!</v>
      </c>
      <c r="K136" s="551" t="e">
        <f>IF($B136=#REF!,#REF!*#REF!+#REF!+#REF!,0)</f>
        <v>#REF!</v>
      </c>
      <c r="L136" s="551" t="e">
        <f>IF($B136=#REF!,#REF!*#REF!+#REF!+#REF!,0)</f>
        <v>#REF!</v>
      </c>
      <c r="M136" s="551" t="e">
        <f>IF($B136=#REF!,#REF!*#REF!+#REF!+#REF!,0)</f>
        <v>#REF!</v>
      </c>
      <c r="N136" s="551" t="e">
        <f>IF($B136=#REF!,#REF!*#REF!+#REF!+#REF!,0)</f>
        <v>#REF!</v>
      </c>
      <c r="O136" s="551" t="e">
        <f>IF($B136=#REF!,#REF!*#REF!+#REF!+#REF!,0)</f>
        <v>#REF!</v>
      </c>
      <c r="P136" s="551" t="e">
        <f>IF($B136=#REF!,#REF!*#REF!+#REF!+#REF!,0)</f>
        <v>#REF!</v>
      </c>
      <c r="Q136" s="590" t="e">
        <f t="shared" si="8"/>
        <v>#REF!</v>
      </c>
      <c r="T136" s="273"/>
      <c r="U136" s="274"/>
      <c r="V136" s="275"/>
    </row>
    <row r="137" spans="2:22" ht="14.55" x14ac:dyDescent="0.3">
      <c r="B137" s="505" t="str">
        <f>IF(Überblick!$H$53&gt;=7,7,"")</f>
        <v/>
      </c>
      <c r="C137" s="589" t="e">
        <f>IF($B137=#REF!,#REF!*#REF!+#REF!+#REF!,0)</f>
        <v>#REF!</v>
      </c>
      <c r="D137" s="551" t="e">
        <f>IF($B137=#REF!,#REF!*#REF!+#REF!+#REF!,0)</f>
        <v>#REF!</v>
      </c>
      <c r="E137" s="551" t="e">
        <f>IF($B137=#REF!,#REF!*#REF!+#REF!+#REF!,0)</f>
        <v>#REF!</v>
      </c>
      <c r="F137" s="551" t="e">
        <f>IF($B137=#REF!,#REF!*#REF!+#REF!+#REF!,0)</f>
        <v>#REF!</v>
      </c>
      <c r="G137" s="551" t="e">
        <f>IF($B137=#REF!,#REF!*#REF!+#REF!+#REF!,0)</f>
        <v>#REF!</v>
      </c>
      <c r="H137" s="551" t="e">
        <f>IF($B137=#REF!,#REF!*#REF!+#REF!+#REF!,0)</f>
        <v>#REF!</v>
      </c>
      <c r="I137" s="551" t="e">
        <f>IF($B137=#REF!,#REF!*#REF!+#REF!+#REF!,0)</f>
        <v>#REF!</v>
      </c>
      <c r="J137" s="551" t="e">
        <f>IF($B137=#REF!,#REF!*#REF!+#REF!+#REF!+#REF!+#REF!,0)</f>
        <v>#REF!</v>
      </c>
      <c r="K137" s="551" t="e">
        <f>IF($B137=#REF!,#REF!*#REF!+#REF!+#REF!,0)</f>
        <v>#REF!</v>
      </c>
      <c r="L137" s="551" t="e">
        <f>IF($B137=#REF!,#REF!*#REF!+#REF!+#REF!,0)</f>
        <v>#REF!</v>
      </c>
      <c r="M137" s="551" t="e">
        <f>IF($B137=#REF!,#REF!*#REF!+#REF!+#REF!,0)</f>
        <v>#REF!</v>
      </c>
      <c r="N137" s="551" t="e">
        <f>IF($B137=#REF!,#REF!*#REF!+#REF!+#REF!,0)</f>
        <v>#REF!</v>
      </c>
      <c r="O137" s="551" t="e">
        <f>IF($B137=#REF!,#REF!*#REF!+#REF!+#REF!,0)</f>
        <v>#REF!</v>
      </c>
      <c r="P137" s="551" t="e">
        <f>IF($B137=#REF!,#REF!*#REF!+#REF!+#REF!,0)</f>
        <v>#REF!</v>
      </c>
      <c r="Q137" s="590" t="e">
        <f t="shared" si="8"/>
        <v>#REF!</v>
      </c>
      <c r="T137" s="273"/>
      <c r="U137" s="274"/>
      <c r="V137" s="275"/>
    </row>
    <row r="138" spans="2:22" ht="14.55" x14ac:dyDescent="0.3">
      <c r="B138" s="505" t="str">
        <f>IF(Überblick!$H$53&gt;=8,8,"")</f>
        <v/>
      </c>
      <c r="C138" s="589" t="e">
        <f>IF($B138=#REF!,#REF!*#REF!+#REF!+#REF!,0)</f>
        <v>#REF!</v>
      </c>
      <c r="D138" s="551" t="e">
        <f>IF($B138=#REF!,#REF!*#REF!+#REF!+#REF!,0)</f>
        <v>#REF!</v>
      </c>
      <c r="E138" s="551" t="e">
        <f>IF($B138=#REF!,#REF!*#REF!+#REF!+#REF!,0)</f>
        <v>#REF!</v>
      </c>
      <c r="F138" s="551" t="e">
        <f>IF($B138=#REF!,#REF!*#REF!+#REF!+#REF!,0)</f>
        <v>#REF!</v>
      </c>
      <c r="G138" s="551" t="e">
        <f>IF($B138=#REF!,#REF!*#REF!+#REF!+#REF!,0)</f>
        <v>#REF!</v>
      </c>
      <c r="H138" s="551" t="e">
        <f>IF($B138=#REF!,#REF!*#REF!+#REF!+#REF!,0)</f>
        <v>#REF!</v>
      </c>
      <c r="I138" s="551" t="e">
        <f>IF($B138=#REF!,#REF!*#REF!+#REF!+#REF!,0)</f>
        <v>#REF!</v>
      </c>
      <c r="J138" s="551" t="e">
        <f>IF($B138=#REF!,#REF!*#REF!+#REF!+#REF!+#REF!+#REF!,0)</f>
        <v>#REF!</v>
      </c>
      <c r="K138" s="551" t="e">
        <f>IF($B138=#REF!,#REF!*#REF!+#REF!+#REF!,0)</f>
        <v>#REF!</v>
      </c>
      <c r="L138" s="551" t="e">
        <f>IF($B138=#REF!,#REF!*#REF!+#REF!+#REF!,0)</f>
        <v>#REF!</v>
      </c>
      <c r="M138" s="551" t="e">
        <f>IF($B138=#REF!,#REF!*#REF!+#REF!+#REF!,0)</f>
        <v>#REF!</v>
      </c>
      <c r="N138" s="551" t="e">
        <f>IF($B138=#REF!,#REF!*#REF!+#REF!+#REF!,0)</f>
        <v>#REF!</v>
      </c>
      <c r="O138" s="551" t="e">
        <f>IF($B138=#REF!,#REF!*#REF!+#REF!+#REF!,0)</f>
        <v>#REF!</v>
      </c>
      <c r="P138" s="551" t="e">
        <f>IF($B138=#REF!,#REF!*#REF!+#REF!+#REF!,0)</f>
        <v>#REF!</v>
      </c>
      <c r="Q138" s="590" t="e">
        <f t="shared" si="8"/>
        <v>#REF!</v>
      </c>
      <c r="T138" s="273"/>
      <c r="U138" s="274"/>
      <c r="V138" s="275"/>
    </row>
    <row r="139" spans="2:22" ht="15.2" thickBot="1" x14ac:dyDescent="0.35">
      <c r="B139" s="509" t="str">
        <f>IF(Überblick!$H$53&gt;=9,9,"")</f>
        <v/>
      </c>
      <c r="C139" s="591" t="e">
        <f>IF($B139=#REF!,#REF!*#REF!+#REF!+#REF!,0)</f>
        <v>#REF!</v>
      </c>
      <c r="D139" s="556" t="e">
        <f>IF($B139=#REF!,#REF!*#REF!+#REF!+#REF!,0)</f>
        <v>#REF!</v>
      </c>
      <c r="E139" s="556" t="e">
        <f>IF($B139=#REF!,#REF!*#REF!+#REF!+#REF!,0)</f>
        <v>#REF!</v>
      </c>
      <c r="F139" s="556" t="e">
        <f>IF($B139=#REF!,#REF!*#REF!+#REF!+#REF!,0)</f>
        <v>#REF!</v>
      </c>
      <c r="G139" s="556" t="e">
        <f>IF($B139=#REF!,#REF!*#REF!+#REF!+#REF!,0)</f>
        <v>#REF!</v>
      </c>
      <c r="H139" s="556" t="e">
        <f>IF($B139=#REF!,#REF!*#REF!+#REF!+#REF!,0)</f>
        <v>#REF!</v>
      </c>
      <c r="I139" s="556" t="e">
        <f>IF($B139=#REF!,#REF!*#REF!+#REF!+#REF!,0)</f>
        <v>#REF!</v>
      </c>
      <c r="J139" s="556" t="e">
        <f>IF($B139=#REF!,#REF!*#REF!+#REF!+#REF!+#REF!+#REF!,0)</f>
        <v>#REF!</v>
      </c>
      <c r="K139" s="556" t="e">
        <f>IF($B139=#REF!,#REF!*#REF!+#REF!+#REF!,0)</f>
        <v>#REF!</v>
      </c>
      <c r="L139" s="556" t="e">
        <f>IF($B139=#REF!,#REF!*#REF!+#REF!+#REF!,0)</f>
        <v>#REF!</v>
      </c>
      <c r="M139" s="556" t="e">
        <f>IF($B139=#REF!,#REF!*#REF!+#REF!+#REF!,0)</f>
        <v>#REF!</v>
      </c>
      <c r="N139" s="556" t="e">
        <f>IF($B139=#REF!,#REF!*#REF!+#REF!+#REF!,0)</f>
        <v>#REF!</v>
      </c>
      <c r="O139" s="556" t="e">
        <f>IF($B139=#REF!,#REF!*#REF!+#REF!+#REF!,0)</f>
        <v>#REF!</v>
      </c>
      <c r="P139" s="556" t="e">
        <f>IF($B139=#REF!,#REF!*#REF!+#REF!+#REF!,0)</f>
        <v>#REF!</v>
      </c>
      <c r="Q139" s="592" t="e">
        <f t="shared" ref="Q139" si="9">SUM(C139:P139)</f>
        <v>#REF!</v>
      </c>
      <c r="T139" s="273"/>
      <c r="U139" s="274"/>
      <c r="V139" s="275"/>
    </row>
    <row r="140" spans="2:22" ht="15.2" thickBot="1" x14ac:dyDescent="0.35">
      <c r="Q140" s="593" t="e">
        <f>SUM(Q131:Q139)</f>
        <v>#REF!</v>
      </c>
      <c r="T140" s="273"/>
      <c r="U140" s="274"/>
      <c r="V140" s="275"/>
    </row>
    <row r="141" spans="2:22" ht="14.55" x14ac:dyDescent="0.3">
      <c r="T141" s="273"/>
      <c r="U141" s="274"/>
      <c r="V141" s="275"/>
    </row>
    <row r="142" spans="2:22" ht="14.55" x14ac:dyDescent="0.3">
      <c r="T142" s="273"/>
      <c r="U142" s="274"/>
      <c r="V142" s="275"/>
    </row>
    <row r="143" spans="2:22" ht="14.55" x14ac:dyDescent="0.3">
      <c r="T143" s="273"/>
      <c r="U143" s="274"/>
      <c r="V143" s="275"/>
    </row>
    <row r="144" spans="2:22" ht="14.55" x14ac:dyDescent="0.3">
      <c r="T144" s="273"/>
      <c r="U144" s="274"/>
      <c r="V144" s="275"/>
    </row>
    <row r="145" spans="20:22" ht="14.55" x14ac:dyDescent="0.3">
      <c r="T145" s="273"/>
      <c r="U145" s="274"/>
      <c r="V145" s="275"/>
    </row>
    <row r="146" spans="20:22" ht="14.55" x14ac:dyDescent="0.3">
      <c r="T146" s="273"/>
      <c r="U146" s="274"/>
      <c r="V146" s="275"/>
    </row>
    <row r="147" spans="20:22" ht="14.55" x14ac:dyDescent="0.3">
      <c r="T147" s="273"/>
      <c r="U147" s="274"/>
      <c r="V147" s="275"/>
    </row>
    <row r="148" spans="20:22" ht="14.55" x14ac:dyDescent="0.3">
      <c r="T148" s="273"/>
      <c r="U148" s="274"/>
      <c r="V148" s="275"/>
    </row>
    <row r="149" spans="20:22" ht="14.55" x14ac:dyDescent="0.3">
      <c r="T149" s="273"/>
      <c r="U149" s="274"/>
      <c r="V149" s="275"/>
    </row>
    <row r="150" spans="20:22" ht="14.55" x14ac:dyDescent="0.3">
      <c r="T150" s="273"/>
      <c r="U150" s="274"/>
      <c r="V150" s="275"/>
    </row>
    <row r="151" spans="20:22" ht="14.55" x14ac:dyDescent="0.3">
      <c r="T151" s="273"/>
      <c r="U151" s="274"/>
      <c r="V151" s="275"/>
    </row>
    <row r="152" spans="20:22" ht="14.55" x14ac:dyDescent="0.3">
      <c r="T152" s="273"/>
      <c r="U152" s="274"/>
      <c r="V152" s="275"/>
    </row>
    <row r="153" spans="20:22" ht="14.55" x14ac:dyDescent="0.3">
      <c r="T153" s="273"/>
      <c r="U153" s="274"/>
      <c r="V153" s="275"/>
    </row>
    <row r="154" spans="20:22" ht="14.55" x14ac:dyDescent="0.3">
      <c r="T154" s="273"/>
      <c r="U154" s="274"/>
      <c r="V154" s="275"/>
    </row>
    <row r="155" spans="20:22" ht="14.55" x14ac:dyDescent="0.3">
      <c r="T155" s="273"/>
      <c r="U155" s="274"/>
      <c r="V155" s="275"/>
    </row>
    <row r="156" spans="20:22" ht="14.55" x14ac:dyDescent="0.3">
      <c r="T156" s="273"/>
      <c r="U156" s="274"/>
      <c r="V156" s="275"/>
    </row>
    <row r="157" spans="20:22" ht="14.55" x14ac:dyDescent="0.3">
      <c r="T157" s="273"/>
      <c r="U157" s="274"/>
      <c r="V157" s="275"/>
    </row>
    <row r="158" spans="20:22" ht="14.55" x14ac:dyDescent="0.3">
      <c r="T158" s="273"/>
      <c r="U158" s="274"/>
      <c r="V158" s="275"/>
    </row>
    <row r="159" spans="20:22" ht="14.55" x14ac:dyDescent="0.3">
      <c r="T159" s="273"/>
      <c r="U159" s="274"/>
      <c r="V159" s="275"/>
    </row>
    <row r="160" spans="20:22" ht="14.55" x14ac:dyDescent="0.3">
      <c r="T160" s="273"/>
      <c r="U160" s="274"/>
      <c r="V160" s="275"/>
    </row>
    <row r="161" spans="20:22" ht="14.55" x14ac:dyDescent="0.3">
      <c r="T161" s="273"/>
      <c r="U161" s="274"/>
      <c r="V161" s="275"/>
    </row>
    <row r="162" spans="20:22" ht="14.55" x14ac:dyDescent="0.3">
      <c r="T162" s="273"/>
      <c r="U162" s="274"/>
      <c r="V162" s="275"/>
    </row>
    <row r="163" spans="20:22" ht="14.55" x14ac:dyDescent="0.3">
      <c r="T163" s="273"/>
      <c r="U163" s="274"/>
      <c r="V163" s="275"/>
    </row>
    <row r="164" spans="20:22" ht="14.55" x14ac:dyDescent="0.3">
      <c r="T164" s="273"/>
      <c r="U164" s="274"/>
      <c r="V164" s="275"/>
    </row>
    <row r="165" spans="20:22" ht="14.55" x14ac:dyDescent="0.3">
      <c r="T165" s="273"/>
      <c r="U165" s="274"/>
      <c r="V165" s="275"/>
    </row>
    <row r="166" spans="20:22" ht="14.55" x14ac:dyDescent="0.3">
      <c r="T166" s="273"/>
      <c r="U166" s="274"/>
      <c r="V166" s="275"/>
    </row>
    <row r="167" spans="20:22" ht="14.55" x14ac:dyDescent="0.3">
      <c r="T167" s="273"/>
      <c r="U167" s="274"/>
      <c r="V167" s="275"/>
    </row>
    <row r="168" spans="20:22" ht="14.55" x14ac:dyDescent="0.3">
      <c r="T168" s="273"/>
      <c r="U168" s="274"/>
      <c r="V168" s="275"/>
    </row>
    <row r="169" spans="20:22" ht="14.55" x14ac:dyDescent="0.3">
      <c r="T169" s="273"/>
      <c r="U169" s="274"/>
      <c r="V169" s="275"/>
    </row>
    <row r="170" spans="20:22" ht="14.55" x14ac:dyDescent="0.3">
      <c r="T170" s="273"/>
      <c r="U170" s="274"/>
      <c r="V170" s="275"/>
    </row>
    <row r="171" spans="20:22" ht="14.55" x14ac:dyDescent="0.3">
      <c r="T171" s="273"/>
      <c r="U171" s="274"/>
      <c r="V171" s="275"/>
    </row>
    <row r="172" spans="20:22" ht="14.55" x14ac:dyDescent="0.3">
      <c r="T172" s="273"/>
      <c r="U172" s="274"/>
      <c r="V172" s="275"/>
    </row>
    <row r="173" spans="20:22" ht="14.55" x14ac:dyDescent="0.3">
      <c r="T173" s="273"/>
      <c r="U173" s="274"/>
      <c r="V173" s="275"/>
    </row>
    <row r="174" spans="20:22" ht="14.55" x14ac:dyDescent="0.3">
      <c r="T174" s="273"/>
      <c r="U174" s="274"/>
      <c r="V174" s="275"/>
    </row>
    <row r="175" spans="20:22" ht="14.55" x14ac:dyDescent="0.3">
      <c r="T175" s="273"/>
      <c r="U175" s="274"/>
      <c r="V175" s="275"/>
    </row>
    <row r="176" spans="20:22" ht="14.55" x14ac:dyDescent="0.3">
      <c r="T176" s="273"/>
      <c r="U176" s="274"/>
      <c r="V176" s="275"/>
    </row>
    <row r="177" spans="20:22" ht="14.55" x14ac:dyDescent="0.3">
      <c r="T177" s="273"/>
      <c r="U177" s="274"/>
      <c r="V177" s="275"/>
    </row>
    <row r="178" spans="20:22" ht="14.55" x14ac:dyDescent="0.3">
      <c r="T178" s="273"/>
      <c r="U178" s="274"/>
      <c r="V178" s="275"/>
    </row>
    <row r="179" spans="20:22" ht="14.55" x14ac:dyDescent="0.3">
      <c r="T179" s="273"/>
      <c r="U179" s="274"/>
      <c r="V179" s="275"/>
    </row>
    <row r="180" spans="20:22" ht="14.55" x14ac:dyDescent="0.3">
      <c r="T180" s="273"/>
      <c r="U180" s="274"/>
      <c r="V180" s="275"/>
    </row>
    <row r="181" spans="20:22" ht="14.55" x14ac:dyDescent="0.3">
      <c r="T181" s="273"/>
      <c r="U181" s="274"/>
      <c r="V181" s="275"/>
    </row>
    <row r="182" spans="20:22" ht="14.55" x14ac:dyDescent="0.3">
      <c r="T182" s="273"/>
      <c r="U182" s="274"/>
      <c r="V182" s="275"/>
    </row>
    <row r="183" spans="20:22" ht="14.55" x14ac:dyDescent="0.3">
      <c r="T183" s="273"/>
      <c r="U183" s="274"/>
      <c r="V183" s="275"/>
    </row>
    <row r="184" spans="20:22" ht="14.55" x14ac:dyDescent="0.3">
      <c r="T184" s="273"/>
      <c r="U184" s="274"/>
      <c r="V184" s="275"/>
    </row>
    <row r="185" spans="20:22" ht="14.55" x14ac:dyDescent="0.3">
      <c r="T185" s="273"/>
      <c r="U185" s="274"/>
      <c r="V185" s="275"/>
    </row>
    <row r="186" spans="20:22" ht="14.55" x14ac:dyDescent="0.3">
      <c r="T186" s="273"/>
      <c r="U186" s="274"/>
      <c r="V186" s="275"/>
    </row>
    <row r="187" spans="20:22" ht="14.55" x14ac:dyDescent="0.3">
      <c r="T187" s="273"/>
      <c r="U187" s="274"/>
      <c r="V187" s="275"/>
    </row>
    <row r="188" spans="20:22" ht="14.55" x14ac:dyDescent="0.3">
      <c r="T188" s="273"/>
      <c r="U188" s="274"/>
      <c r="V188" s="275"/>
    </row>
    <row r="189" spans="20:22" ht="14.55" x14ac:dyDescent="0.3">
      <c r="T189" s="273"/>
      <c r="U189" s="274"/>
      <c r="V189" s="275"/>
    </row>
    <row r="190" spans="20:22" ht="14.55" x14ac:dyDescent="0.3">
      <c r="T190" s="273"/>
      <c r="U190" s="274"/>
      <c r="V190" s="275"/>
    </row>
    <row r="191" spans="20:22" ht="14.55" x14ac:dyDescent="0.3">
      <c r="T191" s="273"/>
      <c r="U191" s="274"/>
      <c r="V191" s="275"/>
    </row>
    <row r="192" spans="20:22" ht="14.55" x14ac:dyDescent="0.3">
      <c r="T192" s="273"/>
      <c r="U192" s="274"/>
      <c r="V192" s="275"/>
    </row>
    <row r="193" spans="20:22" ht="14.55" x14ac:dyDescent="0.3">
      <c r="T193" s="273"/>
      <c r="U193" s="274"/>
      <c r="V193" s="275"/>
    </row>
    <row r="194" spans="20:22" ht="14.55" x14ac:dyDescent="0.3">
      <c r="T194" s="273"/>
      <c r="U194" s="274"/>
      <c r="V194" s="560"/>
    </row>
    <row r="195" spans="20:22" ht="14.55" x14ac:dyDescent="0.3">
      <c r="T195" s="273"/>
      <c r="U195" s="274"/>
      <c r="V195" s="275"/>
    </row>
    <row r="196" spans="20:22" ht="14.55" x14ac:dyDescent="0.3">
      <c r="T196" s="273"/>
      <c r="U196" s="274"/>
      <c r="V196" s="275"/>
    </row>
    <row r="197" spans="20:22" ht="14.55" x14ac:dyDescent="0.3">
      <c r="T197" s="273"/>
      <c r="U197" s="274"/>
      <c r="V197" s="275"/>
    </row>
    <row r="198" spans="20:22" ht="14.55" x14ac:dyDescent="0.3">
      <c r="T198" s="273"/>
      <c r="U198" s="274"/>
      <c r="V198" s="275"/>
    </row>
    <row r="199" spans="20:22" ht="14.55" x14ac:dyDescent="0.3">
      <c r="T199" s="273"/>
      <c r="U199" s="274"/>
      <c r="V199" s="275"/>
    </row>
    <row r="200" spans="20:22" ht="14.55" x14ac:dyDescent="0.3">
      <c r="T200" s="273"/>
      <c r="U200" s="274"/>
      <c r="V200" s="275"/>
    </row>
    <row r="201" spans="20:22" ht="14.55" x14ac:dyDescent="0.3">
      <c r="T201" s="273"/>
      <c r="U201" s="274"/>
      <c r="V201" s="275"/>
    </row>
    <row r="202" spans="20:22" ht="14.55" x14ac:dyDescent="0.3">
      <c r="T202" s="273"/>
      <c r="U202" s="274"/>
      <c r="V202" s="275"/>
    </row>
    <row r="203" spans="20:22" ht="14.55" x14ac:dyDescent="0.3">
      <c r="T203" s="273"/>
      <c r="U203" s="274"/>
      <c r="V203" s="275"/>
    </row>
    <row r="204" spans="20:22" ht="14.55" x14ac:dyDescent="0.3">
      <c r="T204" s="273"/>
      <c r="U204" s="274"/>
      <c r="V204" s="275"/>
    </row>
    <row r="205" spans="20:22" ht="14.55" x14ac:dyDescent="0.3">
      <c r="T205" s="273"/>
      <c r="U205" s="274"/>
      <c r="V205" s="275"/>
    </row>
    <row r="206" spans="20:22" ht="14.55" x14ac:dyDescent="0.3">
      <c r="T206" s="273"/>
      <c r="U206" s="274"/>
      <c r="V206" s="275"/>
    </row>
    <row r="207" spans="20:22" ht="14.55" x14ac:dyDescent="0.3">
      <c r="T207" s="273"/>
      <c r="U207" s="274"/>
      <c r="V207" s="275"/>
    </row>
    <row r="208" spans="20:22" ht="14.55" x14ac:dyDescent="0.3">
      <c r="T208" s="273"/>
      <c r="U208" s="274"/>
      <c r="V208" s="275"/>
    </row>
    <row r="209" spans="20:22" ht="14.55" x14ac:dyDescent="0.3">
      <c r="T209" s="273"/>
      <c r="U209" s="274"/>
      <c r="V209" s="275"/>
    </row>
    <row r="210" spans="20:22" ht="14.55" x14ac:dyDescent="0.3">
      <c r="T210" s="273"/>
      <c r="U210" s="274"/>
      <c r="V210" s="275"/>
    </row>
    <row r="211" spans="20:22" ht="14.55" x14ac:dyDescent="0.3">
      <c r="T211" s="273"/>
      <c r="U211" s="274"/>
      <c r="V211" s="275"/>
    </row>
    <row r="212" spans="20:22" ht="14.55" x14ac:dyDescent="0.3">
      <c r="T212" s="273"/>
      <c r="U212" s="274"/>
      <c r="V212" s="275"/>
    </row>
    <row r="213" spans="20:22" ht="14.55" x14ac:dyDescent="0.3">
      <c r="T213" s="273"/>
      <c r="U213" s="274"/>
      <c r="V213" s="275"/>
    </row>
    <row r="214" spans="20:22" ht="14.55" x14ac:dyDescent="0.3">
      <c r="T214" s="273"/>
      <c r="U214" s="274"/>
      <c r="V214" s="275"/>
    </row>
    <row r="215" spans="20:22" ht="14.55" x14ac:dyDescent="0.3">
      <c r="T215" s="273"/>
      <c r="U215" s="274"/>
      <c r="V215" s="275"/>
    </row>
    <row r="216" spans="20:22" ht="14.55" x14ac:dyDescent="0.3">
      <c r="T216" s="273"/>
      <c r="U216" s="274"/>
      <c r="V216" s="275"/>
    </row>
    <row r="217" spans="20:22" ht="14.55" x14ac:dyDescent="0.3">
      <c r="T217" s="273"/>
      <c r="U217" s="274"/>
      <c r="V217" s="275"/>
    </row>
    <row r="218" spans="20:22" ht="14.55" x14ac:dyDescent="0.3">
      <c r="T218" s="273"/>
      <c r="U218" s="274"/>
      <c r="V218" s="275"/>
    </row>
    <row r="219" spans="20:22" ht="14.55" x14ac:dyDescent="0.3">
      <c r="T219" s="273"/>
      <c r="U219" s="274"/>
      <c r="V219" s="275"/>
    </row>
    <row r="220" spans="20:22" ht="14.55" x14ac:dyDescent="0.3">
      <c r="T220" s="273"/>
      <c r="U220" s="274"/>
      <c r="V220" s="275"/>
    </row>
    <row r="221" spans="20:22" ht="14.55" x14ac:dyDescent="0.3">
      <c r="T221" s="273"/>
      <c r="U221" s="274"/>
      <c r="V221" s="275"/>
    </row>
    <row r="222" spans="20:22" ht="14.55" x14ac:dyDescent="0.3">
      <c r="T222" s="273"/>
      <c r="U222" s="274"/>
      <c r="V222" s="275"/>
    </row>
    <row r="223" spans="20:22" ht="14.55" x14ac:dyDescent="0.3">
      <c r="T223" s="273"/>
      <c r="U223" s="274"/>
      <c r="V223" s="275"/>
    </row>
    <row r="224" spans="20:22" ht="14.55" x14ac:dyDescent="0.3">
      <c r="T224" s="273"/>
      <c r="U224" s="274"/>
      <c r="V224" s="275"/>
    </row>
    <row r="225" spans="20:22" ht="14.55" x14ac:dyDescent="0.3">
      <c r="T225" s="273"/>
      <c r="U225" s="274"/>
      <c r="V225" s="275"/>
    </row>
    <row r="226" spans="20:22" ht="14.55" x14ac:dyDescent="0.3">
      <c r="T226" s="273"/>
      <c r="U226" s="274"/>
      <c r="V226" s="275"/>
    </row>
    <row r="227" spans="20:22" ht="14.55" x14ac:dyDescent="0.3">
      <c r="T227" s="273"/>
      <c r="U227" s="274"/>
      <c r="V227" s="275"/>
    </row>
    <row r="228" spans="20:22" ht="14.55" x14ac:dyDescent="0.3">
      <c r="T228" s="273"/>
      <c r="U228" s="274"/>
      <c r="V228" s="275"/>
    </row>
    <row r="229" spans="20:22" ht="14.55" x14ac:dyDescent="0.3">
      <c r="T229" s="273"/>
      <c r="U229" s="274"/>
      <c r="V229" s="275"/>
    </row>
    <row r="230" spans="20:22" ht="14.55" x14ac:dyDescent="0.3">
      <c r="T230" s="273"/>
      <c r="U230" s="274"/>
      <c r="V230" s="275"/>
    </row>
    <row r="231" spans="20:22" ht="14.55" x14ac:dyDescent="0.3">
      <c r="T231" s="273"/>
      <c r="U231" s="274"/>
      <c r="V231" s="275"/>
    </row>
    <row r="232" spans="20:22" ht="14.55" x14ac:dyDescent="0.3">
      <c r="T232" s="273"/>
      <c r="U232" s="274"/>
      <c r="V232" s="275"/>
    </row>
    <row r="233" spans="20:22" ht="14.55" x14ac:dyDescent="0.3">
      <c r="T233" s="273"/>
      <c r="U233" s="274"/>
      <c r="V233" s="275"/>
    </row>
    <row r="234" spans="20:22" ht="14.55" x14ac:dyDescent="0.3">
      <c r="T234" s="273"/>
      <c r="U234" s="274"/>
      <c r="V234" s="275"/>
    </row>
    <row r="235" spans="20:22" ht="14.55" x14ac:dyDescent="0.3">
      <c r="T235" s="273"/>
      <c r="U235" s="274"/>
      <c r="V235" s="275"/>
    </row>
    <row r="236" spans="20:22" ht="14.55" x14ac:dyDescent="0.3">
      <c r="T236" s="273"/>
      <c r="U236" s="274"/>
      <c r="V236" s="275"/>
    </row>
    <row r="237" spans="20:22" ht="14.55" x14ac:dyDescent="0.3">
      <c r="T237" s="273"/>
      <c r="U237" s="274"/>
      <c r="V237" s="275"/>
    </row>
    <row r="238" spans="20:22" ht="14.55" x14ac:dyDescent="0.3">
      <c r="T238" s="273"/>
      <c r="U238" s="274"/>
      <c r="V238" s="275"/>
    </row>
    <row r="239" spans="20:22" ht="14.55" x14ac:dyDescent="0.3">
      <c r="T239" s="273"/>
      <c r="U239" s="274"/>
      <c r="V239" s="275"/>
    </row>
    <row r="240" spans="20:22" ht="14.55" x14ac:dyDescent="0.3">
      <c r="T240" s="273"/>
      <c r="U240" s="274"/>
      <c r="V240" s="275"/>
    </row>
    <row r="241" spans="20:22" ht="14.55" x14ac:dyDescent="0.3">
      <c r="T241" s="273"/>
      <c r="U241" s="274"/>
      <c r="V241" s="275"/>
    </row>
    <row r="242" spans="20:22" ht="14.55" x14ac:dyDescent="0.3">
      <c r="T242" s="273"/>
      <c r="U242" s="274"/>
      <c r="V242" s="275"/>
    </row>
    <row r="243" spans="20:22" ht="14.55" x14ac:dyDescent="0.3">
      <c r="T243" s="273"/>
      <c r="U243" s="274"/>
      <c r="V243" s="275"/>
    </row>
    <row r="244" spans="20:22" ht="14.55" x14ac:dyDescent="0.3">
      <c r="T244" s="273"/>
      <c r="U244" s="274"/>
      <c r="V244" s="275"/>
    </row>
    <row r="245" spans="20:22" ht="14.55" x14ac:dyDescent="0.3">
      <c r="T245" s="273"/>
      <c r="U245" s="274"/>
      <c r="V245" s="275"/>
    </row>
    <row r="246" spans="20:22" ht="14.55" x14ac:dyDescent="0.3">
      <c r="T246" s="273"/>
      <c r="U246" s="274"/>
      <c r="V246" s="275"/>
    </row>
    <row r="247" spans="20:22" ht="14.55" x14ac:dyDescent="0.3">
      <c r="T247" s="273"/>
      <c r="U247" s="274"/>
      <c r="V247" s="275"/>
    </row>
    <row r="248" spans="20:22" ht="14.55" x14ac:dyDescent="0.3">
      <c r="T248" s="273"/>
      <c r="U248" s="274"/>
      <c r="V248" s="275"/>
    </row>
    <row r="249" spans="20:22" ht="14.55" x14ac:dyDescent="0.3">
      <c r="T249" s="273"/>
      <c r="U249" s="274"/>
      <c r="V249" s="275"/>
    </row>
    <row r="250" spans="20:22" ht="14.55" x14ac:dyDescent="0.3">
      <c r="T250" s="273"/>
      <c r="U250" s="274"/>
      <c r="V250" s="275"/>
    </row>
    <row r="251" spans="20:22" ht="14.55" x14ac:dyDescent="0.3">
      <c r="T251" s="273"/>
      <c r="U251" s="274"/>
      <c r="V251" s="275"/>
    </row>
    <row r="252" spans="20:22" ht="14.55" x14ac:dyDescent="0.3">
      <c r="T252" s="273"/>
      <c r="U252" s="274"/>
      <c r="V252" s="275"/>
    </row>
    <row r="253" spans="20:22" ht="14.55" x14ac:dyDescent="0.3">
      <c r="T253" s="273"/>
      <c r="U253" s="274"/>
      <c r="V253" s="275"/>
    </row>
    <row r="254" spans="20:22" ht="14.55" x14ac:dyDescent="0.3">
      <c r="T254" s="273"/>
      <c r="U254" s="274"/>
      <c r="V254" s="275"/>
    </row>
    <row r="255" spans="20:22" ht="14.55" x14ac:dyDescent="0.3">
      <c r="T255" s="273"/>
      <c r="U255" s="274"/>
      <c r="V255" s="275"/>
    </row>
    <row r="256" spans="20:22" ht="14.55" x14ac:dyDescent="0.3">
      <c r="T256" s="273"/>
      <c r="U256" s="274"/>
      <c r="V256" s="275"/>
    </row>
    <row r="257" spans="20:22" ht="14.55" x14ac:dyDescent="0.3">
      <c r="T257" s="273"/>
      <c r="U257" s="274"/>
      <c r="V257" s="275"/>
    </row>
    <row r="258" spans="20:22" ht="14.55" x14ac:dyDescent="0.3">
      <c r="T258" s="273"/>
      <c r="U258" s="274"/>
      <c r="V258" s="275"/>
    </row>
    <row r="259" spans="20:22" ht="14.55" x14ac:dyDescent="0.3">
      <c r="T259" s="273"/>
      <c r="U259" s="274"/>
      <c r="V259" s="275"/>
    </row>
    <row r="260" spans="20:22" ht="14.55" x14ac:dyDescent="0.3">
      <c r="T260" s="273"/>
      <c r="U260" s="274"/>
      <c r="V260" s="275"/>
    </row>
    <row r="261" spans="20:22" ht="14.55" x14ac:dyDescent="0.3">
      <c r="T261" s="273"/>
      <c r="U261" s="274"/>
      <c r="V261" s="275"/>
    </row>
    <row r="262" spans="20:22" ht="14.55" x14ac:dyDescent="0.3">
      <c r="T262" s="273"/>
      <c r="U262" s="274"/>
      <c r="V262" s="275"/>
    </row>
    <row r="263" spans="20:22" ht="14.55" x14ac:dyDescent="0.3">
      <c r="T263" s="273"/>
      <c r="U263" s="274"/>
      <c r="V263" s="275"/>
    </row>
    <row r="264" spans="20:22" ht="14.55" x14ac:dyDescent="0.3">
      <c r="T264" s="273"/>
      <c r="U264" s="274"/>
      <c r="V264" s="275"/>
    </row>
    <row r="265" spans="20:22" ht="14.55" x14ac:dyDescent="0.3">
      <c r="T265" s="273"/>
      <c r="U265" s="274"/>
      <c r="V265" s="275"/>
    </row>
    <row r="266" spans="20:22" ht="14.55" x14ac:dyDescent="0.3">
      <c r="T266" s="273"/>
      <c r="U266" s="274"/>
      <c r="V266" s="275"/>
    </row>
    <row r="267" spans="20:22" ht="14.55" x14ac:dyDescent="0.3">
      <c r="T267" s="273"/>
      <c r="U267" s="274"/>
      <c r="V267" s="275"/>
    </row>
    <row r="268" spans="20:22" ht="14.55" x14ac:dyDescent="0.3">
      <c r="T268" s="273"/>
      <c r="U268" s="274"/>
      <c r="V268" s="275"/>
    </row>
    <row r="269" spans="20:22" ht="14.55" x14ac:dyDescent="0.3">
      <c r="T269" s="273"/>
      <c r="U269" s="274"/>
      <c r="V269" s="275"/>
    </row>
    <row r="270" spans="20:22" ht="14.55" x14ac:dyDescent="0.3">
      <c r="T270" s="273"/>
      <c r="U270" s="274"/>
      <c r="V270" s="275"/>
    </row>
    <row r="271" spans="20:22" ht="14.55" x14ac:dyDescent="0.3">
      <c r="T271" s="273"/>
      <c r="U271" s="274"/>
      <c r="V271" s="275"/>
    </row>
    <row r="272" spans="20:22" ht="14.55" x14ac:dyDescent="0.3">
      <c r="T272" s="273"/>
      <c r="U272" s="274"/>
      <c r="V272" s="275"/>
    </row>
    <row r="273" spans="20:22" ht="14.55" x14ac:dyDescent="0.3">
      <c r="T273" s="273"/>
      <c r="U273" s="274"/>
      <c r="V273" s="275"/>
    </row>
    <row r="274" spans="20:22" ht="14.55" x14ac:dyDescent="0.3">
      <c r="T274" s="273"/>
      <c r="U274" s="274"/>
      <c r="V274" s="275"/>
    </row>
    <row r="275" spans="20:22" ht="14.55" x14ac:dyDescent="0.3">
      <c r="T275" s="273"/>
      <c r="U275" s="274"/>
      <c r="V275" s="275"/>
    </row>
    <row r="276" spans="20:22" ht="14.55" x14ac:dyDescent="0.3">
      <c r="T276" s="273"/>
      <c r="U276" s="274"/>
      <c r="V276" s="275"/>
    </row>
    <row r="277" spans="20:22" ht="14.55" x14ac:dyDescent="0.3">
      <c r="T277" s="273"/>
      <c r="U277" s="274"/>
      <c r="V277" s="275"/>
    </row>
    <row r="278" spans="20:22" ht="14.55" x14ac:dyDescent="0.3">
      <c r="T278" s="273"/>
      <c r="U278" s="274"/>
      <c r="V278" s="275"/>
    </row>
    <row r="279" spans="20:22" ht="14.55" x14ac:dyDescent="0.3">
      <c r="T279" s="273"/>
      <c r="U279" s="274"/>
      <c r="V279" s="275"/>
    </row>
    <row r="280" spans="20:22" ht="14.55" x14ac:dyDescent="0.3">
      <c r="T280" s="273"/>
      <c r="U280" s="274"/>
      <c r="V280" s="275"/>
    </row>
    <row r="281" spans="20:22" ht="14.55" x14ac:dyDescent="0.3">
      <c r="T281" s="273"/>
      <c r="U281" s="274"/>
      <c r="V281" s="275"/>
    </row>
    <row r="282" spans="20:22" ht="14.55" x14ac:dyDescent="0.3">
      <c r="T282" s="273"/>
      <c r="U282" s="274"/>
      <c r="V282" s="275"/>
    </row>
    <row r="283" spans="20:22" ht="14.55" x14ac:dyDescent="0.3">
      <c r="T283" s="273"/>
      <c r="U283" s="274"/>
      <c r="V283" s="275"/>
    </row>
    <row r="284" spans="20:22" ht="14.55" x14ac:dyDescent="0.3">
      <c r="T284" s="273"/>
      <c r="U284" s="274"/>
      <c r="V284" s="275"/>
    </row>
    <row r="285" spans="20:22" ht="14.55" x14ac:dyDescent="0.3">
      <c r="T285" s="273"/>
      <c r="U285" s="274"/>
      <c r="V285" s="275"/>
    </row>
    <row r="286" spans="20:22" ht="14.55" x14ac:dyDescent="0.3">
      <c r="T286" s="273"/>
      <c r="U286" s="274"/>
      <c r="V286" s="275"/>
    </row>
    <row r="287" spans="20:22" ht="14.55" x14ac:dyDescent="0.3">
      <c r="T287" s="273"/>
      <c r="U287" s="274"/>
      <c r="V287" s="275"/>
    </row>
    <row r="288" spans="20:22" ht="14.55" x14ac:dyDescent="0.3">
      <c r="T288" s="273"/>
      <c r="U288" s="274"/>
      <c r="V288" s="275"/>
    </row>
    <row r="289" spans="3:22" ht="14.55" x14ac:dyDescent="0.3">
      <c r="T289" s="273"/>
      <c r="U289" s="274"/>
      <c r="V289" s="275"/>
    </row>
    <row r="290" spans="3:22" ht="14.55" x14ac:dyDescent="0.3">
      <c r="T290" s="273"/>
      <c r="U290" s="274"/>
      <c r="V290" s="275"/>
    </row>
    <row r="291" spans="3:22" ht="14.55" x14ac:dyDescent="0.3">
      <c r="C291" s="543" t="e">
        <f>'Berechnung - Freianlagen'!C131</f>
        <v>#REF!</v>
      </c>
      <c r="D291" s="543" t="e">
        <f>'Berechnung - Freianlagen'!D131</f>
        <v>#REF!</v>
      </c>
      <c r="E291" s="543" t="e">
        <f>'Berechnung - Freianlagen'!E131</f>
        <v>#REF!</v>
      </c>
      <c r="F291" s="543" t="e">
        <f>'Berechnung - Freianlagen'!F131</f>
        <v>#REF!</v>
      </c>
      <c r="G291" s="543" t="e">
        <f>'Berechnung - Freianlagen'!G131</f>
        <v>#REF!</v>
      </c>
      <c r="H291" s="543" t="e">
        <f>'Berechnung - Freianlagen'!H131</f>
        <v>#REF!</v>
      </c>
      <c r="I291" s="543" t="e">
        <f>'Berechnung - Freianlagen'!I131</f>
        <v>#REF!</v>
      </c>
      <c r="J291" s="543" t="e">
        <f>'Berechnung - Freianlagen'!J131</f>
        <v>#REF!</v>
      </c>
      <c r="K291" s="543" t="e">
        <f>'Berechnung - Freianlagen'!K131</f>
        <v>#REF!</v>
      </c>
      <c r="L291" s="543" t="e">
        <f>'Berechnung - Freianlagen'!L131</f>
        <v>#REF!</v>
      </c>
      <c r="M291" s="543" t="e">
        <f>'Berechnung - Freianlagen'!M131</f>
        <v>#REF!</v>
      </c>
      <c r="N291" s="543" t="e">
        <f>'Berechnung - Freianlagen'!N131</f>
        <v>#REF!</v>
      </c>
      <c r="O291" s="543" t="e">
        <f>'Berechnung - Freianlagen'!O131</f>
        <v>#REF!</v>
      </c>
      <c r="P291" s="543" t="e">
        <f>'Berechnung - Freianlagen'!P131</f>
        <v>#REF!</v>
      </c>
      <c r="T291" s="273"/>
      <c r="U291" s="274"/>
      <c r="V291" s="275"/>
    </row>
    <row r="292" spans="3:22" ht="14.55" x14ac:dyDescent="0.3">
      <c r="C292" s="543" t="e">
        <f>'Berechnung - Freianlagen'!C132</f>
        <v>#REF!</v>
      </c>
      <c r="D292" s="543" t="e">
        <f>'Berechnung - Freianlagen'!D132</f>
        <v>#REF!</v>
      </c>
      <c r="E292" s="543" t="e">
        <f>'Berechnung - Freianlagen'!E132</f>
        <v>#REF!</v>
      </c>
      <c r="F292" s="543" t="e">
        <f>'Berechnung - Freianlagen'!F132</f>
        <v>#REF!</v>
      </c>
      <c r="G292" s="543" t="e">
        <f>'Berechnung - Freianlagen'!G132</f>
        <v>#REF!</v>
      </c>
      <c r="H292" s="543" t="e">
        <f>'Berechnung - Freianlagen'!H132</f>
        <v>#REF!</v>
      </c>
      <c r="I292" s="543" t="e">
        <f>'Berechnung - Freianlagen'!I132</f>
        <v>#REF!</v>
      </c>
      <c r="J292" s="543" t="e">
        <f>'Berechnung - Freianlagen'!J132</f>
        <v>#REF!</v>
      </c>
      <c r="K292" s="543" t="e">
        <f>'Berechnung - Freianlagen'!K132</f>
        <v>#REF!</v>
      </c>
      <c r="L292" s="543" t="e">
        <f>'Berechnung - Freianlagen'!L132</f>
        <v>#REF!</v>
      </c>
      <c r="M292" s="543" t="e">
        <f>'Berechnung - Freianlagen'!M132</f>
        <v>#REF!</v>
      </c>
      <c r="N292" s="543" t="e">
        <f>'Berechnung - Freianlagen'!N132</f>
        <v>#REF!</v>
      </c>
      <c r="O292" s="543" t="e">
        <f>'Berechnung - Freianlagen'!O132</f>
        <v>#REF!</v>
      </c>
      <c r="P292" s="543" t="e">
        <f>'Berechnung - Freianlagen'!P132</f>
        <v>#REF!</v>
      </c>
      <c r="T292" s="273"/>
      <c r="U292" s="274"/>
      <c r="V292" s="275"/>
    </row>
    <row r="293" spans="3:22" ht="14.55" x14ac:dyDescent="0.3">
      <c r="C293" s="543" t="e">
        <f>'Berechnung - Freianlagen'!C133</f>
        <v>#REF!</v>
      </c>
      <c r="D293" s="543" t="e">
        <f>'Berechnung - Freianlagen'!D133</f>
        <v>#REF!</v>
      </c>
      <c r="E293" s="543" t="e">
        <f>'Berechnung - Freianlagen'!E133</f>
        <v>#REF!</v>
      </c>
      <c r="F293" s="543" t="e">
        <f>'Berechnung - Freianlagen'!F133</f>
        <v>#REF!</v>
      </c>
      <c r="G293" s="543" t="e">
        <f>'Berechnung - Freianlagen'!G133</f>
        <v>#REF!</v>
      </c>
      <c r="H293" s="543" t="e">
        <f>'Berechnung - Freianlagen'!H133</f>
        <v>#REF!</v>
      </c>
      <c r="I293" s="543" t="e">
        <f>'Berechnung - Freianlagen'!I133</f>
        <v>#REF!</v>
      </c>
      <c r="J293" s="543" t="e">
        <f>'Berechnung - Freianlagen'!J133</f>
        <v>#REF!</v>
      </c>
      <c r="K293" s="543" t="e">
        <f>'Berechnung - Freianlagen'!K133</f>
        <v>#REF!</v>
      </c>
      <c r="L293" s="543" t="e">
        <f>'Berechnung - Freianlagen'!L133</f>
        <v>#REF!</v>
      </c>
      <c r="M293" s="543" t="e">
        <f>'Berechnung - Freianlagen'!M133</f>
        <v>#REF!</v>
      </c>
      <c r="N293" s="543" t="e">
        <f>'Berechnung - Freianlagen'!N133</f>
        <v>#REF!</v>
      </c>
      <c r="O293" s="543" t="e">
        <f>'Berechnung - Freianlagen'!O133</f>
        <v>#REF!</v>
      </c>
      <c r="P293" s="543" t="e">
        <f>'Berechnung - Freianlagen'!P133</f>
        <v>#REF!</v>
      </c>
      <c r="T293" s="273"/>
      <c r="U293" s="274"/>
      <c r="V293" s="275"/>
    </row>
    <row r="294" spans="3:22" ht="14.55" x14ac:dyDescent="0.3">
      <c r="C294" s="543" t="e">
        <f>'Berechnung - Freianlagen'!C134</f>
        <v>#REF!</v>
      </c>
      <c r="D294" s="543" t="e">
        <f>'Berechnung - Freianlagen'!D134</f>
        <v>#REF!</v>
      </c>
      <c r="E294" s="543" t="e">
        <f>'Berechnung - Freianlagen'!E134</f>
        <v>#REF!</v>
      </c>
      <c r="F294" s="543" t="e">
        <f>'Berechnung - Freianlagen'!F134</f>
        <v>#REF!</v>
      </c>
      <c r="G294" s="543" t="e">
        <f>'Berechnung - Freianlagen'!G134</f>
        <v>#REF!</v>
      </c>
      <c r="H294" s="543" t="e">
        <f>'Berechnung - Freianlagen'!H134</f>
        <v>#REF!</v>
      </c>
      <c r="I294" s="543" t="e">
        <f>'Berechnung - Freianlagen'!I134</f>
        <v>#REF!</v>
      </c>
      <c r="J294" s="543" t="e">
        <f>'Berechnung - Freianlagen'!J134</f>
        <v>#REF!</v>
      </c>
      <c r="K294" s="543" t="e">
        <f>'Berechnung - Freianlagen'!K134</f>
        <v>#REF!</v>
      </c>
      <c r="L294" s="543" t="e">
        <f>'Berechnung - Freianlagen'!L134</f>
        <v>#REF!</v>
      </c>
      <c r="M294" s="543" t="e">
        <f>'Berechnung - Freianlagen'!M134</f>
        <v>#REF!</v>
      </c>
      <c r="N294" s="543" t="e">
        <f>'Berechnung - Freianlagen'!N134</f>
        <v>#REF!</v>
      </c>
      <c r="O294" s="543" t="e">
        <f>'Berechnung - Freianlagen'!O134</f>
        <v>#REF!</v>
      </c>
      <c r="P294" s="543" t="e">
        <f>'Berechnung - Freianlagen'!P134</f>
        <v>#REF!</v>
      </c>
      <c r="T294" s="273"/>
      <c r="U294" s="274"/>
      <c r="V294" s="275"/>
    </row>
    <row r="295" spans="3:22" ht="14.55" x14ac:dyDescent="0.3">
      <c r="C295" s="543" t="e">
        <f>'Berechnung - Freianlagen'!C135</f>
        <v>#REF!</v>
      </c>
      <c r="D295" s="543" t="e">
        <f>'Berechnung - Freianlagen'!D135</f>
        <v>#REF!</v>
      </c>
      <c r="E295" s="543" t="e">
        <f>'Berechnung - Freianlagen'!E135</f>
        <v>#REF!</v>
      </c>
      <c r="F295" s="543" t="e">
        <f>'Berechnung - Freianlagen'!F135</f>
        <v>#REF!</v>
      </c>
      <c r="G295" s="543" t="e">
        <f>'Berechnung - Freianlagen'!G135</f>
        <v>#REF!</v>
      </c>
      <c r="H295" s="543" t="e">
        <f>'Berechnung - Freianlagen'!H135</f>
        <v>#REF!</v>
      </c>
      <c r="I295" s="543" t="e">
        <f>'Berechnung - Freianlagen'!I135</f>
        <v>#REF!</v>
      </c>
      <c r="J295" s="543" t="e">
        <f>'Berechnung - Freianlagen'!J135</f>
        <v>#REF!</v>
      </c>
      <c r="K295" s="543" t="e">
        <f>'Berechnung - Freianlagen'!K135</f>
        <v>#REF!</v>
      </c>
      <c r="L295" s="543" t="e">
        <f>'Berechnung - Freianlagen'!L135</f>
        <v>#REF!</v>
      </c>
      <c r="M295" s="543" t="e">
        <f>'Berechnung - Freianlagen'!M135</f>
        <v>#REF!</v>
      </c>
      <c r="N295" s="543" t="e">
        <f>'Berechnung - Freianlagen'!N135</f>
        <v>#REF!</v>
      </c>
      <c r="O295" s="543" t="e">
        <f>'Berechnung - Freianlagen'!O135</f>
        <v>#REF!</v>
      </c>
      <c r="P295" s="543" t="e">
        <f>'Berechnung - Freianlagen'!P135</f>
        <v>#REF!</v>
      </c>
      <c r="T295" s="273"/>
      <c r="U295" s="274"/>
      <c r="V295" s="275"/>
    </row>
    <row r="296" spans="3:22" ht="14.55" x14ac:dyDescent="0.3">
      <c r="C296" s="543" t="e">
        <f>'Berechnung - Freianlagen'!C136</f>
        <v>#REF!</v>
      </c>
      <c r="D296" s="543" t="e">
        <f>'Berechnung - Freianlagen'!D136</f>
        <v>#REF!</v>
      </c>
      <c r="E296" s="543" t="e">
        <f>'Berechnung - Freianlagen'!E136</f>
        <v>#REF!</v>
      </c>
      <c r="F296" s="543" t="e">
        <f>'Berechnung - Freianlagen'!F136</f>
        <v>#REF!</v>
      </c>
      <c r="G296" s="543" t="e">
        <f>'Berechnung - Freianlagen'!G136</f>
        <v>#REF!</v>
      </c>
      <c r="H296" s="543" t="e">
        <f>'Berechnung - Freianlagen'!H136</f>
        <v>#REF!</v>
      </c>
      <c r="I296" s="543" t="e">
        <f>'Berechnung - Freianlagen'!I136</f>
        <v>#REF!</v>
      </c>
      <c r="J296" s="543" t="e">
        <f>'Berechnung - Freianlagen'!J136</f>
        <v>#REF!</v>
      </c>
      <c r="K296" s="543" t="e">
        <f>'Berechnung - Freianlagen'!K136</f>
        <v>#REF!</v>
      </c>
      <c r="L296" s="543" t="e">
        <f>'Berechnung - Freianlagen'!L136</f>
        <v>#REF!</v>
      </c>
      <c r="M296" s="543" t="e">
        <f>'Berechnung - Freianlagen'!M136</f>
        <v>#REF!</v>
      </c>
      <c r="N296" s="543" t="e">
        <f>'Berechnung - Freianlagen'!N136</f>
        <v>#REF!</v>
      </c>
      <c r="O296" s="543" t="e">
        <f>'Berechnung - Freianlagen'!O136</f>
        <v>#REF!</v>
      </c>
      <c r="P296" s="543" t="e">
        <f>'Berechnung - Freianlagen'!P136</f>
        <v>#REF!</v>
      </c>
      <c r="T296" s="273"/>
      <c r="U296" s="274"/>
      <c r="V296" s="275"/>
    </row>
    <row r="297" spans="3:22" ht="14.55" x14ac:dyDescent="0.3">
      <c r="C297" s="543" t="e">
        <f>'Berechnung - Freianlagen'!C137</f>
        <v>#REF!</v>
      </c>
      <c r="D297" s="543" t="e">
        <f>'Berechnung - Freianlagen'!D137</f>
        <v>#REF!</v>
      </c>
      <c r="E297" s="543" t="e">
        <f>'Berechnung - Freianlagen'!E137</f>
        <v>#REF!</v>
      </c>
      <c r="F297" s="543" t="e">
        <f>'Berechnung - Freianlagen'!F137</f>
        <v>#REF!</v>
      </c>
      <c r="G297" s="543" t="e">
        <f>'Berechnung - Freianlagen'!G137</f>
        <v>#REF!</v>
      </c>
      <c r="H297" s="543" t="e">
        <f>'Berechnung - Freianlagen'!H137</f>
        <v>#REF!</v>
      </c>
      <c r="I297" s="543" t="e">
        <f>'Berechnung - Freianlagen'!I137</f>
        <v>#REF!</v>
      </c>
      <c r="J297" s="543" t="e">
        <f>'Berechnung - Freianlagen'!J137</f>
        <v>#REF!</v>
      </c>
      <c r="K297" s="543" t="e">
        <f>'Berechnung - Freianlagen'!K137</f>
        <v>#REF!</v>
      </c>
      <c r="L297" s="543" t="e">
        <f>'Berechnung - Freianlagen'!L137</f>
        <v>#REF!</v>
      </c>
      <c r="M297" s="543" t="e">
        <f>'Berechnung - Freianlagen'!M137</f>
        <v>#REF!</v>
      </c>
      <c r="N297" s="543" t="e">
        <f>'Berechnung - Freianlagen'!N137</f>
        <v>#REF!</v>
      </c>
      <c r="O297" s="543" t="e">
        <f>'Berechnung - Freianlagen'!O137</f>
        <v>#REF!</v>
      </c>
      <c r="P297" s="543" t="e">
        <f>'Berechnung - Freianlagen'!P137</f>
        <v>#REF!</v>
      </c>
      <c r="T297" s="273"/>
      <c r="U297" s="274"/>
      <c r="V297" s="275"/>
    </row>
    <row r="298" spans="3:22" ht="14.55" x14ac:dyDescent="0.3">
      <c r="C298" s="543" t="e">
        <f>'Berechnung - Freianlagen'!C138</f>
        <v>#REF!</v>
      </c>
      <c r="D298" s="543" t="e">
        <f>'Berechnung - Freianlagen'!D138</f>
        <v>#REF!</v>
      </c>
      <c r="E298" s="543" t="e">
        <f>'Berechnung - Freianlagen'!E138</f>
        <v>#REF!</v>
      </c>
      <c r="F298" s="543" t="e">
        <f>'Berechnung - Freianlagen'!F138</f>
        <v>#REF!</v>
      </c>
      <c r="G298" s="543" t="e">
        <f>'Berechnung - Freianlagen'!G138</f>
        <v>#REF!</v>
      </c>
      <c r="H298" s="543" t="e">
        <f>'Berechnung - Freianlagen'!H138</f>
        <v>#REF!</v>
      </c>
      <c r="I298" s="543" t="e">
        <f>'Berechnung - Freianlagen'!I138</f>
        <v>#REF!</v>
      </c>
      <c r="J298" s="543" t="e">
        <f>'Berechnung - Freianlagen'!J138</f>
        <v>#REF!</v>
      </c>
      <c r="K298" s="543" t="e">
        <f>'Berechnung - Freianlagen'!K138</f>
        <v>#REF!</v>
      </c>
      <c r="L298" s="543" t="e">
        <f>'Berechnung - Freianlagen'!L138</f>
        <v>#REF!</v>
      </c>
      <c r="M298" s="543" t="e">
        <f>'Berechnung - Freianlagen'!M138</f>
        <v>#REF!</v>
      </c>
      <c r="N298" s="543" t="e">
        <f>'Berechnung - Freianlagen'!N138</f>
        <v>#REF!</v>
      </c>
      <c r="O298" s="543" t="e">
        <f>'Berechnung - Freianlagen'!O138</f>
        <v>#REF!</v>
      </c>
      <c r="P298" s="543" t="e">
        <f>'Berechnung - Freianlagen'!P138</f>
        <v>#REF!</v>
      </c>
      <c r="T298" s="273"/>
      <c r="U298" s="274"/>
      <c r="V298" s="275"/>
    </row>
    <row r="299" spans="3:22" ht="14.55" x14ac:dyDescent="0.3">
      <c r="T299" s="273"/>
      <c r="U299" s="274"/>
      <c r="V299" s="275"/>
    </row>
    <row r="300" spans="3:22" ht="14.55" x14ac:dyDescent="0.3">
      <c r="T300" s="273"/>
      <c r="U300" s="274"/>
      <c r="V300" s="275"/>
    </row>
    <row r="301" spans="3:22" ht="14.55" x14ac:dyDescent="0.3">
      <c r="T301" s="273"/>
      <c r="U301" s="274"/>
      <c r="V301" s="275"/>
    </row>
    <row r="302" spans="3:22" ht="14.55" x14ac:dyDescent="0.3">
      <c r="T302" s="273"/>
      <c r="U302" s="274"/>
      <c r="V302" s="275"/>
    </row>
    <row r="303" spans="3:22" ht="14.55" x14ac:dyDescent="0.3">
      <c r="T303" s="273"/>
      <c r="U303" s="274"/>
      <c r="V303" s="275"/>
    </row>
    <row r="304" spans="3:22" ht="14.55" x14ac:dyDescent="0.3">
      <c r="T304" s="273"/>
      <c r="U304" s="274"/>
      <c r="V304" s="275"/>
    </row>
    <row r="305" spans="20:22" ht="14.55" x14ac:dyDescent="0.3">
      <c r="T305" s="273"/>
      <c r="U305" s="274"/>
      <c r="V305" s="275"/>
    </row>
    <row r="306" spans="20:22" ht="14.55" x14ac:dyDescent="0.3">
      <c r="T306" s="273"/>
      <c r="U306" s="274"/>
      <c r="V306" s="275"/>
    </row>
    <row r="307" spans="20:22" ht="14.55" x14ac:dyDescent="0.3">
      <c r="T307" s="273"/>
      <c r="U307" s="274"/>
      <c r="V307" s="275"/>
    </row>
    <row r="308" spans="20:22" ht="14.55" x14ac:dyDescent="0.3">
      <c r="T308" s="273"/>
      <c r="U308" s="274"/>
      <c r="V308" s="275"/>
    </row>
    <row r="309" spans="20:22" ht="14.55" x14ac:dyDescent="0.3">
      <c r="T309" s="273"/>
      <c r="U309" s="274"/>
      <c r="V309" s="275"/>
    </row>
    <row r="310" spans="20:22" ht="14.55" x14ac:dyDescent="0.3">
      <c r="T310" s="273"/>
      <c r="U310" s="274"/>
      <c r="V310" s="275"/>
    </row>
    <row r="311" spans="20:22" ht="14.55" x14ac:dyDescent="0.3">
      <c r="T311" s="273"/>
      <c r="U311" s="274"/>
      <c r="V311" s="275"/>
    </row>
    <row r="312" spans="20:22" ht="14.55" x14ac:dyDescent="0.3">
      <c r="T312" s="273"/>
      <c r="U312" s="274"/>
      <c r="V312" s="275"/>
    </row>
    <row r="313" spans="20:22" ht="14.55" x14ac:dyDescent="0.3">
      <c r="T313" s="273"/>
      <c r="U313" s="274"/>
      <c r="V313" s="275"/>
    </row>
    <row r="314" spans="20:22" ht="14.55" x14ac:dyDescent="0.3">
      <c r="T314" s="273"/>
      <c r="U314" s="274"/>
      <c r="V314" s="275"/>
    </row>
    <row r="315" spans="20:22" ht="14.55" x14ac:dyDescent="0.3">
      <c r="T315" s="273"/>
      <c r="U315" s="274"/>
      <c r="V315" s="275"/>
    </row>
    <row r="316" spans="20:22" ht="14.55" x14ac:dyDescent="0.3">
      <c r="T316" s="273"/>
      <c r="U316" s="274"/>
      <c r="V316" s="275"/>
    </row>
    <row r="317" spans="20:22" ht="14.55" x14ac:dyDescent="0.3">
      <c r="T317" s="273"/>
      <c r="U317" s="274"/>
      <c r="V317" s="275"/>
    </row>
    <row r="318" spans="20:22" ht="14.55" x14ac:dyDescent="0.3">
      <c r="T318" s="273"/>
      <c r="U318" s="274"/>
      <c r="V318" s="275"/>
    </row>
    <row r="319" spans="20:22" ht="14.55" x14ac:dyDescent="0.3">
      <c r="T319" s="273"/>
      <c r="U319" s="274"/>
      <c r="V319" s="275"/>
    </row>
    <row r="320" spans="20:22" ht="14.55" x14ac:dyDescent="0.3">
      <c r="T320" s="273"/>
      <c r="U320" s="274"/>
      <c r="V320" s="275"/>
    </row>
    <row r="321" spans="20:22" ht="14.55" x14ac:dyDescent="0.3">
      <c r="T321" s="273"/>
      <c r="U321" s="274"/>
      <c r="V321" s="275"/>
    </row>
    <row r="322" spans="20:22" ht="14.55" x14ac:dyDescent="0.3">
      <c r="T322" s="273"/>
      <c r="U322" s="274"/>
      <c r="V322" s="275"/>
    </row>
    <row r="323" spans="20:22" ht="14.55" x14ac:dyDescent="0.3">
      <c r="T323" s="273"/>
      <c r="U323" s="274"/>
      <c r="V323" s="275"/>
    </row>
    <row r="324" spans="20:22" ht="14.55" x14ac:dyDescent="0.3">
      <c r="T324" s="273"/>
      <c r="U324" s="274"/>
      <c r="V324" s="275"/>
    </row>
    <row r="325" spans="20:22" ht="14.55" x14ac:dyDescent="0.3">
      <c r="T325" s="273"/>
      <c r="U325" s="274"/>
      <c r="V325" s="275"/>
    </row>
    <row r="326" spans="20:22" ht="14.55" x14ac:dyDescent="0.3">
      <c r="T326" s="273"/>
      <c r="U326" s="274"/>
      <c r="V326" s="275"/>
    </row>
    <row r="327" spans="20:22" ht="14.55" x14ac:dyDescent="0.3">
      <c r="T327" s="273"/>
      <c r="U327" s="274"/>
      <c r="V327" s="275"/>
    </row>
    <row r="328" spans="20:22" ht="14.55" x14ac:dyDescent="0.3">
      <c r="T328" s="273"/>
      <c r="U328" s="274"/>
      <c r="V328" s="275"/>
    </row>
    <row r="329" spans="20:22" ht="14.55" x14ac:dyDescent="0.3">
      <c r="T329" s="273"/>
      <c r="U329" s="274"/>
      <c r="V329" s="275"/>
    </row>
    <row r="330" spans="20:22" ht="14.55" x14ac:dyDescent="0.3">
      <c r="T330" s="273"/>
      <c r="U330" s="274"/>
      <c r="V330" s="275"/>
    </row>
    <row r="331" spans="20:22" ht="14.55" x14ac:dyDescent="0.3">
      <c r="T331" s="273"/>
      <c r="U331" s="274"/>
      <c r="V331" s="275"/>
    </row>
    <row r="332" spans="20:22" ht="14.55" x14ac:dyDescent="0.3">
      <c r="T332" s="273"/>
      <c r="U332" s="274"/>
      <c r="V332" s="275"/>
    </row>
    <row r="333" spans="20:22" ht="14.55" x14ac:dyDescent="0.3">
      <c r="T333" s="273"/>
      <c r="U333" s="274"/>
      <c r="V333" s="275"/>
    </row>
    <row r="334" spans="20:22" ht="14.55" x14ac:dyDescent="0.3">
      <c r="T334" s="273"/>
      <c r="U334" s="274"/>
      <c r="V334" s="275"/>
    </row>
    <row r="335" spans="20:22" ht="14.55" x14ac:dyDescent="0.3">
      <c r="T335" s="273"/>
      <c r="U335" s="274"/>
      <c r="V335" s="275"/>
    </row>
    <row r="336" spans="20:22" ht="14.55" x14ac:dyDescent="0.3">
      <c r="T336" s="273"/>
      <c r="U336" s="274"/>
      <c r="V336" s="275"/>
    </row>
    <row r="337" spans="20:22" ht="14.55" x14ac:dyDescent="0.3">
      <c r="T337" s="273"/>
      <c r="U337" s="274"/>
      <c r="V337" s="275"/>
    </row>
    <row r="338" spans="20:22" ht="14.55" x14ac:dyDescent="0.3">
      <c r="T338" s="273"/>
      <c r="U338" s="274"/>
      <c r="V338" s="275"/>
    </row>
    <row r="339" spans="20:22" ht="14.55" x14ac:dyDescent="0.3">
      <c r="T339" s="273"/>
      <c r="U339" s="274"/>
      <c r="V339" s="275"/>
    </row>
    <row r="340" spans="20:22" ht="14.55" x14ac:dyDescent="0.3">
      <c r="T340" s="273"/>
      <c r="U340" s="274"/>
      <c r="V340" s="275"/>
    </row>
    <row r="341" spans="20:22" ht="14.55" x14ac:dyDescent="0.3">
      <c r="T341" s="273"/>
      <c r="U341" s="274"/>
      <c r="V341" s="275"/>
    </row>
    <row r="342" spans="20:22" ht="14.55" x14ac:dyDescent="0.3">
      <c r="T342" s="273"/>
      <c r="U342" s="274"/>
      <c r="V342" s="275"/>
    </row>
    <row r="343" spans="20:22" ht="14.55" x14ac:dyDescent="0.3">
      <c r="T343" s="273"/>
      <c r="U343" s="274"/>
      <c r="V343" s="275"/>
    </row>
    <row r="344" spans="20:22" ht="14.55" x14ac:dyDescent="0.3">
      <c r="T344" s="273"/>
      <c r="U344" s="274"/>
      <c r="V344" s="275"/>
    </row>
    <row r="345" spans="20:22" ht="14.55" x14ac:dyDescent="0.3">
      <c r="T345" s="273"/>
      <c r="U345" s="274"/>
      <c r="V345" s="275"/>
    </row>
    <row r="346" spans="20:22" ht="14.55" x14ac:dyDescent="0.3">
      <c r="T346" s="273"/>
      <c r="U346" s="274"/>
      <c r="V346" s="275"/>
    </row>
    <row r="347" spans="20:22" ht="14.55" x14ac:dyDescent="0.3">
      <c r="T347" s="273"/>
      <c r="U347" s="274"/>
      <c r="V347" s="275"/>
    </row>
    <row r="348" spans="20:22" ht="14.55" x14ac:dyDescent="0.3">
      <c r="T348" s="273"/>
      <c r="U348" s="274"/>
      <c r="V348" s="275"/>
    </row>
    <row r="349" spans="20:22" ht="14.55" x14ac:dyDescent="0.3">
      <c r="T349" s="273"/>
      <c r="U349" s="274"/>
      <c r="V349" s="275"/>
    </row>
    <row r="350" spans="20:22" ht="14.55" x14ac:dyDescent="0.3">
      <c r="T350" s="273"/>
      <c r="U350" s="274"/>
      <c r="V350" s="275"/>
    </row>
    <row r="351" spans="20:22" ht="14.55" x14ac:dyDescent="0.3">
      <c r="T351" s="273"/>
      <c r="U351" s="274"/>
      <c r="V351" s="275"/>
    </row>
    <row r="352" spans="20:22" ht="14.55" x14ac:dyDescent="0.3">
      <c r="T352" s="273"/>
      <c r="U352" s="274"/>
      <c r="V352" s="275"/>
    </row>
    <row r="353" spans="20:22" ht="14.55" x14ac:dyDescent="0.3">
      <c r="T353" s="273"/>
      <c r="U353" s="274"/>
      <c r="V353" s="275"/>
    </row>
    <row r="354" spans="20:22" ht="14.55" x14ac:dyDescent="0.3">
      <c r="T354" s="273"/>
      <c r="U354" s="274"/>
      <c r="V354" s="275"/>
    </row>
    <row r="355" spans="20:22" ht="14.55" x14ac:dyDescent="0.3">
      <c r="T355" s="273"/>
      <c r="U355" s="274"/>
      <c r="V355" s="275"/>
    </row>
    <row r="356" spans="20:22" ht="14.55" x14ac:dyDescent="0.3">
      <c r="T356" s="273"/>
      <c r="U356" s="274"/>
      <c r="V356" s="275"/>
    </row>
    <row r="357" spans="20:22" ht="14.55" x14ac:dyDescent="0.3">
      <c r="T357" s="273"/>
      <c r="U357" s="274"/>
      <c r="V357" s="275"/>
    </row>
    <row r="358" spans="20:22" ht="14.55" x14ac:dyDescent="0.3">
      <c r="T358" s="273"/>
      <c r="U358" s="274"/>
      <c r="V358" s="275"/>
    </row>
    <row r="359" spans="20:22" ht="14.55" x14ac:dyDescent="0.3">
      <c r="T359" s="273"/>
      <c r="U359" s="274"/>
      <c r="V359" s="275"/>
    </row>
    <row r="360" spans="20:22" ht="14.55" x14ac:dyDescent="0.3">
      <c r="T360" s="273"/>
      <c r="U360" s="274"/>
      <c r="V360" s="275"/>
    </row>
    <row r="361" spans="20:22" ht="14.55" x14ac:dyDescent="0.3">
      <c r="T361" s="273"/>
      <c r="U361" s="274"/>
      <c r="V361" s="275"/>
    </row>
    <row r="362" spans="20:22" ht="14.55" x14ac:dyDescent="0.3">
      <c r="T362" s="273"/>
      <c r="U362" s="274"/>
      <c r="V362" s="275"/>
    </row>
    <row r="363" spans="20:22" ht="14.55" x14ac:dyDescent="0.3">
      <c r="T363" s="273"/>
      <c r="U363" s="274"/>
      <c r="V363" s="275"/>
    </row>
    <row r="364" spans="20:22" ht="14.55" x14ac:dyDescent="0.3">
      <c r="T364" s="273"/>
      <c r="U364" s="274"/>
      <c r="V364" s="275"/>
    </row>
    <row r="365" spans="20:22" ht="14.55" x14ac:dyDescent="0.3">
      <c r="T365" s="273"/>
      <c r="U365" s="274"/>
      <c r="V365" s="275"/>
    </row>
    <row r="366" spans="20:22" ht="14.55" x14ac:dyDescent="0.3">
      <c r="T366" s="273"/>
      <c r="U366" s="274"/>
      <c r="V366" s="275"/>
    </row>
    <row r="367" spans="20:22" ht="14.55" x14ac:dyDescent="0.3">
      <c r="T367" s="273"/>
      <c r="U367" s="274"/>
      <c r="V367" s="275"/>
    </row>
    <row r="368" spans="20:22" ht="14.55" x14ac:dyDescent="0.3">
      <c r="T368" s="273"/>
      <c r="U368" s="274"/>
      <c r="V368" s="275"/>
    </row>
    <row r="369" spans="20:22" ht="14.55" x14ac:dyDescent="0.3">
      <c r="T369" s="273"/>
      <c r="U369" s="274"/>
      <c r="V369" s="275"/>
    </row>
    <row r="370" spans="20:22" ht="14.55" x14ac:dyDescent="0.3">
      <c r="T370" s="273"/>
      <c r="U370" s="274"/>
      <c r="V370" s="275"/>
    </row>
    <row r="371" spans="20:22" ht="14.55" x14ac:dyDescent="0.3">
      <c r="T371" s="273"/>
      <c r="U371" s="274"/>
      <c r="V371" s="275"/>
    </row>
    <row r="372" spans="20:22" ht="14.55" x14ac:dyDescent="0.3">
      <c r="T372" s="273"/>
      <c r="U372" s="274"/>
      <c r="V372" s="275"/>
    </row>
    <row r="373" spans="20:22" ht="14.55" x14ac:dyDescent="0.3">
      <c r="T373" s="273"/>
      <c r="U373" s="274"/>
      <c r="V373" s="275"/>
    </row>
    <row r="374" spans="20:22" ht="14.55" x14ac:dyDescent="0.3">
      <c r="T374" s="273"/>
      <c r="U374" s="274"/>
      <c r="V374" s="275"/>
    </row>
    <row r="375" spans="20:22" ht="14.55" x14ac:dyDescent="0.3">
      <c r="T375" s="273"/>
      <c r="U375" s="274"/>
      <c r="V375" s="275"/>
    </row>
    <row r="376" spans="20:22" ht="14.55" x14ac:dyDescent="0.3">
      <c r="T376" s="273"/>
      <c r="U376" s="274"/>
      <c r="V376" s="275"/>
    </row>
    <row r="377" spans="20:22" ht="14.55" x14ac:dyDescent="0.3">
      <c r="T377" s="273"/>
      <c r="U377" s="274"/>
      <c r="V377" s="275"/>
    </row>
    <row r="378" spans="20:22" ht="14.55" x14ac:dyDescent="0.3">
      <c r="T378" s="273"/>
      <c r="U378" s="274"/>
      <c r="V378" s="275"/>
    </row>
    <row r="379" spans="20:22" ht="14.55" x14ac:dyDescent="0.3">
      <c r="T379" s="273"/>
      <c r="U379" s="274"/>
      <c r="V379" s="275"/>
    </row>
    <row r="380" spans="20:22" ht="14.55" x14ac:dyDescent="0.3">
      <c r="T380" s="273"/>
      <c r="U380" s="274"/>
      <c r="V380" s="275"/>
    </row>
    <row r="381" spans="20:22" ht="14.55" x14ac:dyDescent="0.3">
      <c r="T381" s="273"/>
      <c r="U381" s="274"/>
      <c r="V381" s="275"/>
    </row>
    <row r="382" spans="20:22" ht="14.55" x14ac:dyDescent="0.3">
      <c r="T382" s="273"/>
      <c r="U382" s="274"/>
      <c r="V382" s="275"/>
    </row>
    <row r="383" spans="20:22" ht="14.55" x14ac:dyDescent="0.3">
      <c r="T383" s="273"/>
      <c r="U383" s="274"/>
      <c r="V383" s="275"/>
    </row>
    <row r="384" spans="20:22" ht="14.55" x14ac:dyDescent="0.3">
      <c r="T384" s="273"/>
      <c r="U384" s="274"/>
      <c r="V384" s="275"/>
    </row>
    <row r="385" spans="20:22" ht="14.55" x14ac:dyDescent="0.3">
      <c r="T385" s="273"/>
      <c r="U385" s="274"/>
      <c r="V385" s="275"/>
    </row>
    <row r="386" spans="20:22" ht="14.55" x14ac:dyDescent="0.3">
      <c r="T386" s="273"/>
      <c r="U386" s="274"/>
      <c r="V386" s="275"/>
    </row>
    <row r="387" spans="20:22" ht="14.55" x14ac:dyDescent="0.3">
      <c r="T387" s="273"/>
      <c r="U387" s="274"/>
      <c r="V387" s="275"/>
    </row>
    <row r="388" spans="20:22" ht="14.55" x14ac:dyDescent="0.3">
      <c r="T388" s="273"/>
      <c r="U388" s="274"/>
      <c r="V388" s="275"/>
    </row>
    <row r="389" spans="20:22" ht="14.55" x14ac:dyDescent="0.3">
      <c r="T389" s="273"/>
      <c r="U389" s="274"/>
      <c r="V389" s="275"/>
    </row>
    <row r="390" spans="20:22" ht="14.55" x14ac:dyDescent="0.3">
      <c r="T390" s="273"/>
      <c r="U390" s="274"/>
      <c r="V390" s="275"/>
    </row>
    <row r="391" spans="20:22" ht="14.55" x14ac:dyDescent="0.3">
      <c r="T391" s="273"/>
      <c r="U391" s="274"/>
      <c r="V391" s="275"/>
    </row>
    <row r="392" spans="20:22" ht="14.55" x14ac:dyDescent="0.3">
      <c r="T392" s="273"/>
      <c r="U392" s="274"/>
      <c r="V392" s="275"/>
    </row>
    <row r="393" spans="20:22" ht="14.55" x14ac:dyDescent="0.3">
      <c r="T393" s="273"/>
      <c r="U393" s="274"/>
      <c r="V393" s="275"/>
    </row>
    <row r="394" spans="20:22" ht="14.55" x14ac:dyDescent="0.3">
      <c r="T394" s="273"/>
      <c r="U394" s="274"/>
      <c r="V394" s="275"/>
    </row>
    <row r="395" spans="20:22" ht="14.55" x14ac:dyDescent="0.3">
      <c r="T395" s="273"/>
      <c r="U395" s="274"/>
      <c r="V395" s="275"/>
    </row>
    <row r="396" spans="20:22" ht="14.55" x14ac:dyDescent="0.3">
      <c r="T396" s="273"/>
      <c r="U396" s="274"/>
      <c r="V396" s="275"/>
    </row>
    <row r="397" spans="20:22" ht="14.55" x14ac:dyDescent="0.3">
      <c r="T397" s="273"/>
      <c r="U397" s="274"/>
      <c r="V397" s="275"/>
    </row>
    <row r="398" spans="20:22" ht="14.55" x14ac:dyDescent="0.3">
      <c r="T398" s="273"/>
      <c r="U398" s="274"/>
      <c r="V398" s="275"/>
    </row>
    <row r="399" spans="20:22" ht="14.55" x14ac:dyDescent="0.3">
      <c r="T399" s="273"/>
      <c r="U399" s="274"/>
      <c r="V399" s="275"/>
    </row>
    <row r="400" spans="20:22" ht="14.55" x14ac:dyDescent="0.3">
      <c r="T400" s="273"/>
      <c r="U400" s="274"/>
      <c r="V400" s="275"/>
    </row>
    <row r="401" spans="20:22" ht="14.55" x14ac:dyDescent="0.3">
      <c r="T401" s="273"/>
      <c r="U401" s="274"/>
      <c r="V401" s="275"/>
    </row>
    <row r="402" spans="20:22" ht="14.55" x14ac:dyDescent="0.3">
      <c r="T402" s="273"/>
      <c r="U402" s="274"/>
      <c r="V402" s="275"/>
    </row>
    <row r="403" spans="20:22" ht="14.55" x14ac:dyDescent="0.3">
      <c r="T403" s="273"/>
      <c r="U403" s="274"/>
      <c r="V403" s="275"/>
    </row>
    <row r="404" spans="20:22" ht="14.55" x14ac:dyDescent="0.3">
      <c r="T404" s="273"/>
      <c r="U404" s="274"/>
      <c r="V404" s="275"/>
    </row>
    <row r="405" spans="20:22" ht="14.55" x14ac:dyDescent="0.3">
      <c r="T405" s="273"/>
      <c r="U405" s="274"/>
      <c r="V405" s="275"/>
    </row>
    <row r="406" spans="20:22" ht="14.55" x14ac:dyDescent="0.3">
      <c r="T406" s="273"/>
      <c r="U406" s="274"/>
      <c r="V406" s="275"/>
    </row>
    <row r="407" spans="20:22" ht="14.55" x14ac:dyDescent="0.3">
      <c r="T407" s="273"/>
      <c r="U407" s="274"/>
      <c r="V407" s="275"/>
    </row>
    <row r="408" spans="20:22" ht="14.55" x14ac:dyDescent="0.3">
      <c r="T408" s="273"/>
      <c r="U408" s="274"/>
      <c r="V408" s="275"/>
    </row>
    <row r="409" spans="20:22" ht="14.55" x14ac:dyDescent="0.3">
      <c r="T409" s="273"/>
      <c r="U409" s="274"/>
      <c r="V409" s="275"/>
    </row>
    <row r="410" spans="20:22" ht="14.55" x14ac:dyDescent="0.3">
      <c r="T410" s="273"/>
      <c r="U410" s="274"/>
      <c r="V410" s="275"/>
    </row>
    <row r="411" spans="20:22" ht="14.55" x14ac:dyDescent="0.3">
      <c r="T411" s="273"/>
      <c r="U411" s="274"/>
      <c r="V411" s="275"/>
    </row>
    <row r="412" spans="20:22" ht="14.55" x14ac:dyDescent="0.3">
      <c r="T412" s="273"/>
      <c r="U412" s="274"/>
      <c r="V412" s="275"/>
    </row>
    <row r="413" spans="20:22" ht="14.55" x14ac:dyDescent="0.3">
      <c r="T413" s="273"/>
      <c r="U413" s="274"/>
      <c r="V413" s="275"/>
    </row>
    <row r="414" spans="20:22" ht="14.55" x14ac:dyDescent="0.3">
      <c r="T414" s="273"/>
      <c r="U414" s="274"/>
      <c r="V414" s="275"/>
    </row>
    <row r="415" spans="20:22" ht="14.55" x14ac:dyDescent="0.3">
      <c r="T415" s="273"/>
      <c r="U415" s="274"/>
      <c r="V415" s="275"/>
    </row>
    <row r="416" spans="20:22" ht="14.55" x14ac:dyDescent="0.3">
      <c r="T416" s="273"/>
      <c r="U416" s="274"/>
      <c r="V416" s="275"/>
    </row>
    <row r="417" spans="20:22" ht="14.55" x14ac:dyDescent="0.3">
      <c r="T417" s="273"/>
      <c r="U417" s="274"/>
      <c r="V417" s="275"/>
    </row>
    <row r="418" spans="20:22" ht="14.55" x14ac:dyDescent="0.3">
      <c r="T418" s="273"/>
      <c r="U418" s="274"/>
      <c r="V418" s="275"/>
    </row>
    <row r="419" spans="20:22" ht="14.55" x14ac:dyDescent="0.3">
      <c r="T419" s="273"/>
      <c r="U419" s="274"/>
      <c r="V419" s="275"/>
    </row>
    <row r="420" spans="20:22" ht="14.55" x14ac:dyDescent="0.3">
      <c r="T420" s="273"/>
      <c r="U420" s="274"/>
      <c r="V420" s="275"/>
    </row>
    <row r="421" spans="20:22" ht="14.55" x14ac:dyDescent="0.3">
      <c r="T421" s="273"/>
      <c r="U421" s="274"/>
      <c r="V421" s="275"/>
    </row>
    <row r="422" spans="20:22" ht="14.55" x14ac:dyDescent="0.3">
      <c r="T422" s="273"/>
      <c r="U422" s="274"/>
      <c r="V422" s="275"/>
    </row>
    <row r="423" spans="20:22" ht="14.55" x14ac:dyDescent="0.3">
      <c r="T423" s="273"/>
      <c r="U423" s="274"/>
      <c r="V423" s="275"/>
    </row>
    <row r="424" spans="20:22" ht="14.55" x14ac:dyDescent="0.3">
      <c r="T424" s="273"/>
      <c r="U424" s="274"/>
      <c r="V424" s="275"/>
    </row>
    <row r="425" spans="20:22" ht="14.55" x14ac:dyDescent="0.3">
      <c r="T425" s="273"/>
      <c r="U425" s="274"/>
      <c r="V425" s="275"/>
    </row>
    <row r="426" spans="20:22" ht="14.55" x14ac:dyDescent="0.3">
      <c r="T426" s="273"/>
      <c r="U426" s="274"/>
      <c r="V426" s="275"/>
    </row>
    <row r="427" spans="20:22" ht="14.55" x14ac:dyDescent="0.3">
      <c r="T427" s="273"/>
      <c r="U427" s="274"/>
      <c r="V427" s="275"/>
    </row>
    <row r="428" spans="20:22" ht="14.55" x14ac:dyDescent="0.3">
      <c r="T428" s="273"/>
      <c r="U428" s="274"/>
      <c r="V428" s="275"/>
    </row>
    <row r="429" spans="20:22" ht="14.55" x14ac:dyDescent="0.3">
      <c r="T429" s="273"/>
      <c r="U429" s="274"/>
      <c r="V429" s="275"/>
    </row>
    <row r="430" spans="20:22" ht="14.55" x14ac:dyDescent="0.3">
      <c r="T430" s="273"/>
      <c r="U430" s="274"/>
      <c r="V430" s="275"/>
    </row>
    <row r="431" spans="20:22" ht="14.55" x14ac:dyDescent="0.3">
      <c r="T431" s="273"/>
      <c r="U431" s="274"/>
      <c r="V431" s="275"/>
    </row>
    <row r="432" spans="20:22" ht="14.55" x14ac:dyDescent="0.3">
      <c r="T432" s="273"/>
      <c r="U432" s="274"/>
      <c r="V432" s="275"/>
    </row>
    <row r="433" spans="20:22" ht="14.55" x14ac:dyDescent="0.3">
      <c r="T433" s="273"/>
      <c r="U433" s="274"/>
      <c r="V433" s="275"/>
    </row>
    <row r="434" spans="20:22" ht="14.55" x14ac:dyDescent="0.3">
      <c r="T434" s="273"/>
      <c r="U434" s="274"/>
      <c r="V434" s="275"/>
    </row>
    <row r="435" spans="20:22" ht="14.55" x14ac:dyDescent="0.3">
      <c r="T435" s="273"/>
      <c r="U435" s="274"/>
      <c r="V435" s="275"/>
    </row>
    <row r="436" spans="20:22" ht="14.55" x14ac:dyDescent="0.3">
      <c r="T436" s="273"/>
      <c r="U436" s="274"/>
      <c r="V436" s="275"/>
    </row>
    <row r="437" spans="20:22" ht="14.55" x14ac:dyDescent="0.3">
      <c r="T437" s="273"/>
      <c r="U437" s="274"/>
      <c r="V437" s="275"/>
    </row>
    <row r="438" spans="20:22" ht="14.55" x14ac:dyDescent="0.3">
      <c r="T438" s="273"/>
      <c r="U438" s="274"/>
      <c r="V438" s="275"/>
    </row>
    <row r="439" spans="20:22" ht="14.55" x14ac:dyDescent="0.3">
      <c r="T439" s="273"/>
      <c r="U439" s="274"/>
      <c r="V439" s="275"/>
    </row>
    <row r="440" spans="20:22" ht="14.55" x14ac:dyDescent="0.3">
      <c r="T440" s="273"/>
      <c r="U440" s="274"/>
      <c r="V440" s="275"/>
    </row>
    <row r="441" spans="20:22" ht="14.55" x14ac:dyDescent="0.3">
      <c r="T441" s="273"/>
      <c r="U441" s="274"/>
      <c r="V441" s="275"/>
    </row>
    <row r="442" spans="20:22" ht="14.55" x14ac:dyDescent="0.3">
      <c r="T442" s="273"/>
      <c r="U442" s="274"/>
      <c r="V442" s="275"/>
    </row>
    <row r="443" spans="20:22" ht="14.55" x14ac:dyDescent="0.3">
      <c r="T443" s="273"/>
      <c r="U443" s="274"/>
      <c r="V443" s="275"/>
    </row>
    <row r="444" spans="20:22" ht="14.55" x14ac:dyDescent="0.3">
      <c r="T444" s="273"/>
      <c r="U444" s="274"/>
      <c r="V444" s="275"/>
    </row>
    <row r="445" spans="20:22" ht="14.55" x14ac:dyDescent="0.3">
      <c r="T445" s="273"/>
      <c r="U445" s="274"/>
      <c r="V445" s="275"/>
    </row>
    <row r="446" spans="20:22" ht="14.55" x14ac:dyDescent="0.3">
      <c r="T446" s="273"/>
      <c r="U446" s="274"/>
      <c r="V446" s="275"/>
    </row>
    <row r="447" spans="20:22" ht="14.55" x14ac:dyDescent="0.3">
      <c r="T447" s="273"/>
      <c r="U447" s="274"/>
      <c r="V447" s="275"/>
    </row>
    <row r="448" spans="20:22" ht="14.55" x14ac:dyDescent="0.3">
      <c r="T448" s="273"/>
      <c r="U448" s="274"/>
      <c r="V448" s="275"/>
    </row>
    <row r="449" spans="20:22" ht="14.55" x14ac:dyDescent="0.3">
      <c r="T449" s="273"/>
      <c r="U449" s="274"/>
      <c r="V449" s="275"/>
    </row>
    <row r="450" spans="20:22" ht="14.55" x14ac:dyDescent="0.3">
      <c r="T450" s="273"/>
      <c r="U450" s="274"/>
      <c r="V450" s="275"/>
    </row>
    <row r="451" spans="20:22" ht="14.55" x14ac:dyDescent="0.3">
      <c r="T451" s="273"/>
      <c r="U451" s="274"/>
      <c r="V451" s="275"/>
    </row>
    <row r="452" spans="20:22" ht="14.55" x14ac:dyDescent="0.3">
      <c r="T452" s="273"/>
      <c r="U452" s="274"/>
      <c r="V452" s="275"/>
    </row>
    <row r="453" spans="20:22" ht="14.55" x14ac:dyDescent="0.3">
      <c r="T453" s="273"/>
      <c r="U453" s="274"/>
      <c r="V453" s="275"/>
    </row>
    <row r="454" spans="20:22" ht="14.55" x14ac:dyDescent="0.3">
      <c r="T454" s="273"/>
      <c r="U454" s="274"/>
      <c r="V454" s="275"/>
    </row>
    <row r="455" spans="20:22" ht="14.55" x14ac:dyDescent="0.3">
      <c r="T455" s="273"/>
      <c r="U455" s="274"/>
      <c r="V455" s="275"/>
    </row>
    <row r="456" spans="20:22" ht="14.55" x14ac:dyDescent="0.3">
      <c r="T456" s="273"/>
      <c r="U456" s="274"/>
      <c r="V456" s="275"/>
    </row>
    <row r="457" spans="20:22" ht="14.55" x14ac:dyDescent="0.3">
      <c r="T457" s="273"/>
      <c r="U457" s="274"/>
      <c r="V457" s="275"/>
    </row>
    <row r="458" spans="20:22" ht="14.55" x14ac:dyDescent="0.3">
      <c r="T458" s="273"/>
      <c r="U458" s="274"/>
      <c r="V458" s="275"/>
    </row>
    <row r="459" spans="20:22" ht="14.55" x14ac:dyDescent="0.3">
      <c r="T459" s="273"/>
      <c r="U459" s="274"/>
      <c r="V459" s="275"/>
    </row>
    <row r="460" spans="20:22" ht="14.55" x14ac:dyDescent="0.3">
      <c r="T460" s="273"/>
      <c r="U460" s="274"/>
      <c r="V460" s="275"/>
    </row>
    <row r="461" spans="20:22" ht="14.55" x14ac:dyDescent="0.3">
      <c r="T461" s="273"/>
      <c r="U461" s="274"/>
      <c r="V461" s="275"/>
    </row>
    <row r="462" spans="20:22" ht="14.55" x14ac:dyDescent="0.3">
      <c r="T462" s="273"/>
      <c r="U462" s="274"/>
      <c r="V462" s="275"/>
    </row>
    <row r="463" spans="20:22" ht="14.55" x14ac:dyDescent="0.3">
      <c r="T463" s="273"/>
      <c r="U463" s="274"/>
      <c r="V463" s="275"/>
    </row>
    <row r="464" spans="20:22" ht="14.55" x14ac:dyDescent="0.3">
      <c r="T464" s="273"/>
      <c r="U464" s="274"/>
      <c r="V464" s="275"/>
    </row>
    <row r="465" spans="20:22" ht="14.55" x14ac:dyDescent="0.3">
      <c r="T465" s="273"/>
      <c r="U465" s="274"/>
      <c r="V465" s="275"/>
    </row>
    <row r="466" spans="20:22" ht="14.55" x14ac:dyDescent="0.3">
      <c r="T466" s="273"/>
      <c r="U466" s="274"/>
      <c r="V466" s="275"/>
    </row>
    <row r="467" spans="20:22" ht="14.55" x14ac:dyDescent="0.3">
      <c r="T467" s="273"/>
      <c r="U467" s="274"/>
      <c r="V467" s="275"/>
    </row>
    <row r="468" spans="20:22" ht="14.55" x14ac:dyDescent="0.3">
      <c r="T468" s="273"/>
      <c r="U468" s="274"/>
      <c r="V468" s="275"/>
    </row>
    <row r="469" spans="20:22" ht="14.55" x14ac:dyDescent="0.3">
      <c r="T469" s="273"/>
      <c r="U469" s="274"/>
      <c r="V469" s="275"/>
    </row>
    <row r="470" spans="20:22" ht="14.55" x14ac:dyDescent="0.3">
      <c r="T470" s="273"/>
      <c r="U470" s="274"/>
      <c r="V470" s="275"/>
    </row>
    <row r="471" spans="20:22" ht="14.55" x14ac:dyDescent="0.3">
      <c r="T471" s="273"/>
      <c r="U471" s="274"/>
      <c r="V471" s="275"/>
    </row>
    <row r="472" spans="20:22" ht="14.55" x14ac:dyDescent="0.3">
      <c r="T472" s="273"/>
      <c r="U472" s="274"/>
      <c r="V472" s="275"/>
    </row>
    <row r="473" spans="20:22" ht="14.55" x14ac:dyDescent="0.3">
      <c r="T473" s="273"/>
      <c r="U473" s="274"/>
      <c r="V473" s="275"/>
    </row>
    <row r="474" spans="20:22" ht="14.55" x14ac:dyDescent="0.3">
      <c r="T474" s="273"/>
      <c r="U474" s="274"/>
      <c r="V474" s="275"/>
    </row>
    <row r="475" spans="20:22" ht="14.55" x14ac:dyDescent="0.3">
      <c r="T475" s="273"/>
      <c r="U475" s="274"/>
      <c r="V475" s="275"/>
    </row>
    <row r="476" spans="20:22" ht="14.55" x14ac:dyDescent="0.3">
      <c r="T476" s="273"/>
      <c r="U476" s="274"/>
      <c r="V476" s="275"/>
    </row>
    <row r="477" spans="20:22" ht="14.55" x14ac:dyDescent="0.3">
      <c r="T477" s="273"/>
      <c r="U477" s="274"/>
      <c r="V477" s="275"/>
    </row>
    <row r="478" spans="20:22" ht="14.55" x14ac:dyDescent="0.3">
      <c r="T478" s="273"/>
      <c r="U478" s="274"/>
      <c r="V478" s="275"/>
    </row>
    <row r="479" spans="20:22" ht="14.55" x14ac:dyDescent="0.3">
      <c r="T479" s="273"/>
      <c r="U479" s="274"/>
      <c r="V479" s="275"/>
    </row>
    <row r="480" spans="20:22" ht="14.55" x14ac:dyDescent="0.3">
      <c r="T480" s="273"/>
      <c r="U480" s="274"/>
      <c r="V480" s="275"/>
    </row>
    <row r="481" spans="20:22" ht="14.55" x14ac:dyDescent="0.3">
      <c r="T481" s="273"/>
      <c r="U481" s="274"/>
      <c r="V481" s="275"/>
    </row>
    <row r="482" spans="20:22" ht="14.55" x14ac:dyDescent="0.3">
      <c r="T482" s="273"/>
      <c r="U482" s="274"/>
      <c r="V482" s="275"/>
    </row>
    <row r="483" spans="20:22" ht="14.55" x14ac:dyDescent="0.3">
      <c r="T483" s="273"/>
      <c r="U483" s="274"/>
      <c r="V483" s="275"/>
    </row>
    <row r="484" spans="20:22" ht="14.55" x14ac:dyDescent="0.3">
      <c r="T484" s="273"/>
      <c r="U484" s="274"/>
      <c r="V484" s="275"/>
    </row>
    <row r="485" spans="20:22" ht="14.55" x14ac:dyDescent="0.3">
      <c r="T485" s="273"/>
      <c r="U485" s="274"/>
      <c r="V485" s="275"/>
    </row>
    <row r="486" spans="20:22" ht="14.55" x14ac:dyDescent="0.3">
      <c r="T486" s="273"/>
      <c r="U486" s="274"/>
      <c r="V486" s="275"/>
    </row>
    <row r="487" spans="20:22" ht="14.55" x14ac:dyDescent="0.3">
      <c r="T487" s="273"/>
      <c r="U487" s="274"/>
      <c r="V487" s="275"/>
    </row>
    <row r="488" spans="20:22" ht="14.55" x14ac:dyDescent="0.3">
      <c r="T488" s="273"/>
      <c r="U488" s="274"/>
      <c r="V488" s="275"/>
    </row>
    <row r="489" spans="20:22" ht="14.55" x14ac:dyDescent="0.3">
      <c r="T489" s="273"/>
      <c r="U489" s="274"/>
      <c r="V489" s="275"/>
    </row>
    <row r="490" spans="20:22" ht="14.55" x14ac:dyDescent="0.3">
      <c r="T490" s="273"/>
      <c r="U490" s="274"/>
      <c r="V490" s="275"/>
    </row>
    <row r="491" spans="20:22" ht="14.55" x14ac:dyDescent="0.3">
      <c r="T491" s="273"/>
      <c r="U491" s="274"/>
      <c r="V491" s="275"/>
    </row>
    <row r="492" spans="20:22" ht="14.55" x14ac:dyDescent="0.3">
      <c r="T492" s="273"/>
      <c r="U492" s="274"/>
      <c r="V492" s="275"/>
    </row>
    <row r="493" spans="20:22" ht="14.55" x14ac:dyDescent="0.3">
      <c r="T493" s="273"/>
      <c r="U493" s="274"/>
      <c r="V493" s="275"/>
    </row>
    <row r="494" spans="20:22" ht="14.55" x14ac:dyDescent="0.3">
      <c r="T494" s="273"/>
      <c r="U494" s="274"/>
      <c r="V494" s="275"/>
    </row>
    <row r="495" spans="20:22" ht="14.55" x14ac:dyDescent="0.3">
      <c r="T495" s="273"/>
      <c r="U495" s="274"/>
      <c r="V495" s="275"/>
    </row>
    <row r="496" spans="20:22" ht="14.55" x14ac:dyDescent="0.3">
      <c r="T496" s="273"/>
      <c r="U496" s="274"/>
      <c r="V496" s="275"/>
    </row>
    <row r="497" spans="20:22" ht="14.55" x14ac:dyDescent="0.3">
      <c r="T497" s="273"/>
      <c r="U497" s="274"/>
      <c r="V497" s="275"/>
    </row>
    <row r="498" spans="20:22" ht="14.55" x14ac:dyDescent="0.3">
      <c r="T498" s="273"/>
      <c r="U498" s="274"/>
      <c r="V498" s="275"/>
    </row>
    <row r="499" spans="20:22" ht="14.55" x14ac:dyDescent="0.3">
      <c r="T499" s="273"/>
      <c r="U499" s="274"/>
      <c r="V499" s="275"/>
    </row>
    <row r="500" spans="20:22" ht="14.55" x14ac:dyDescent="0.3">
      <c r="T500" s="273"/>
      <c r="U500" s="274"/>
      <c r="V500" s="275"/>
    </row>
    <row r="501" spans="20:22" ht="14.55" x14ac:dyDescent="0.3">
      <c r="T501" s="273"/>
      <c r="U501" s="274"/>
      <c r="V501" s="275"/>
    </row>
    <row r="502" spans="20:22" ht="14.55" x14ac:dyDescent="0.3">
      <c r="T502" s="273"/>
      <c r="U502" s="274"/>
      <c r="V502" s="275"/>
    </row>
    <row r="503" spans="20:22" ht="14.55" x14ac:dyDescent="0.3">
      <c r="T503" s="273"/>
      <c r="U503" s="274"/>
      <c r="V503" s="275"/>
    </row>
    <row r="504" spans="20:22" ht="14.55" x14ac:dyDescent="0.3">
      <c r="T504" s="273"/>
      <c r="U504" s="274"/>
      <c r="V504" s="275"/>
    </row>
    <row r="505" spans="20:22" ht="14.55" x14ac:dyDescent="0.3">
      <c r="T505" s="273"/>
      <c r="U505" s="274"/>
      <c r="V505" s="275"/>
    </row>
    <row r="506" spans="20:22" ht="14.55" x14ac:dyDescent="0.3">
      <c r="T506" s="273"/>
      <c r="U506" s="274"/>
      <c r="V506" s="275"/>
    </row>
    <row r="507" spans="20:22" ht="14.55" x14ac:dyDescent="0.3">
      <c r="T507" s="273"/>
      <c r="U507" s="274"/>
      <c r="V507" s="275"/>
    </row>
    <row r="508" spans="20:22" ht="14.55" x14ac:dyDescent="0.3">
      <c r="T508" s="273"/>
      <c r="U508" s="274"/>
      <c r="V508" s="275"/>
    </row>
    <row r="509" spans="20:22" ht="14.55" x14ac:dyDescent="0.3">
      <c r="T509" s="273"/>
      <c r="U509" s="274"/>
      <c r="V509" s="275"/>
    </row>
    <row r="510" spans="20:22" ht="14.55" x14ac:dyDescent="0.3">
      <c r="T510" s="273"/>
      <c r="U510" s="274"/>
      <c r="V510" s="275"/>
    </row>
    <row r="511" spans="20:22" ht="14.55" x14ac:dyDescent="0.3">
      <c r="T511" s="273"/>
      <c r="U511" s="274"/>
      <c r="V511" s="275"/>
    </row>
    <row r="512" spans="20:22" ht="14.55" x14ac:dyDescent="0.3">
      <c r="T512" s="273"/>
      <c r="U512" s="274"/>
      <c r="V512" s="275"/>
    </row>
    <row r="513" spans="20:22" ht="14.55" x14ac:dyDescent="0.3">
      <c r="T513" s="273"/>
      <c r="U513" s="274"/>
      <c r="V513" s="275"/>
    </row>
    <row r="514" spans="20:22" ht="14.55" x14ac:dyDescent="0.3">
      <c r="T514" s="273"/>
      <c r="U514" s="274"/>
      <c r="V514" s="275"/>
    </row>
    <row r="515" spans="20:22" ht="14.55" x14ac:dyDescent="0.3">
      <c r="T515" s="273"/>
      <c r="U515" s="274"/>
      <c r="V515" s="275"/>
    </row>
    <row r="516" spans="20:22" ht="14.55" x14ac:dyDescent="0.3">
      <c r="T516" s="273"/>
      <c r="U516" s="274"/>
      <c r="V516" s="275"/>
    </row>
    <row r="517" spans="20:22" ht="14.55" x14ac:dyDescent="0.3">
      <c r="T517" s="273"/>
      <c r="U517" s="274"/>
      <c r="V517" s="275"/>
    </row>
    <row r="518" spans="20:22" ht="14.55" x14ac:dyDescent="0.3">
      <c r="T518" s="273"/>
      <c r="U518" s="274"/>
      <c r="V518" s="275"/>
    </row>
    <row r="519" spans="20:22" ht="14.55" x14ac:dyDescent="0.3">
      <c r="T519" s="273"/>
      <c r="U519" s="274"/>
      <c r="V519" s="275"/>
    </row>
    <row r="520" spans="20:22" ht="14.55" x14ac:dyDescent="0.3">
      <c r="T520" s="273"/>
      <c r="U520" s="274"/>
      <c r="V520" s="275"/>
    </row>
    <row r="521" spans="20:22" ht="14.55" x14ac:dyDescent="0.3">
      <c r="T521" s="273"/>
      <c r="U521" s="274"/>
      <c r="V521" s="275"/>
    </row>
    <row r="522" spans="20:22" ht="14.55" x14ac:dyDescent="0.3">
      <c r="T522" s="273"/>
      <c r="U522" s="274"/>
      <c r="V522" s="275"/>
    </row>
    <row r="523" spans="20:22" ht="14.55" x14ac:dyDescent="0.3">
      <c r="T523" s="273"/>
      <c r="U523" s="274"/>
      <c r="V523" s="275"/>
    </row>
    <row r="524" spans="20:22" ht="14.55" x14ac:dyDescent="0.3">
      <c r="T524" s="273"/>
      <c r="U524" s="274"/>
      <c r="V524" s="275"/>
    </row>
    <row r="525" spans="20:22" ht="14.55" x14ac:dyDescent="0.3">
      <c r="T525" s="273"/>
      <c r="U525" s="274"/>
      <c r="V525" s="275"/>
    </row>
    <row r="526" spans="20:22" ht="14.55" x14ac:dyDescent="0.3">
      <c r="T526" s="273"/>
      <c r="U526" s="274"/>
      <c r="V526" s="275"/>
    </row>
    <row r="527" spans="20:22" ht="14.55" x14ac:dyDescent="0.3">
      <c r="T527" s="273"/>
      <c r="U527" s="274"/>
      <c r="V527" s="275"/>
    </row>
    <row r="528" spans="20:22" ht="14.55" x14ac:dyDescent="0.3">
      <c r="T528" s="273"/>
      <c r="U528" s="274"/>
      <c r="V528" s="275"/>
    </row>
    <row r="529" spans="20:22" ht="14.55" x14ac:dyDescent="0.3">
      <c r="T529" s="273"/>
      <c r="U529" s="274"/>
      <c r="V529" s="275"/>
    </row>
    <row r="530" spans="20:22" ht="14.55" x14ac:dyDescent="0.3">
      <c r="T530" s="273"/>
      <c r="U530" s="274"/>
      <c r="V530" s="275"/>
    </row>
    <row r="531" spans="20:22" ht="14.55" x14ac:dyDescent="0.3">
      <c r="T531" s="273"/>
      <c r="U531" s="274"/>
      <c r="V531" s="275"/>
    </row>
    <row r="532" spans="20:22" ht="14.55" x14ac:dyDescent="0.3">
      <c r="T532" s="273"/>
      <c r="U532" s="274"/>
      <c r="V532" s="275"/>
    </row>
    <row r="533" spans="20:22" ht="14.55" x14ac:dyDescent="0.3">
      <c r="T533" s="273"/>
      <c r="U533" s="274"/>
      <c r="V533" s="275"/>
    </row>
    <row r="534" spans="20:22" ht="14.55" x14ac:dyDescent="0.3">
      <c r="T534" s="273"/>
      <c r="U534" s="274"/>
      <c r="V534" s="275"/>
    </row>
    <row r="535" spans="20:22" ht="14.55" x14ac:dyDescent="0.3">
      <c r="T535" s="273"/>
      <c r="U535" s="274"/>
      <c r="V535" s="275"/>
    </row>
    <row r="536" spans="20:22" ht="14.55" x14ac:dyDescent="0.3">
      <c r="T536" s="273"/>
      <c r="U536" s="274"/>
      <c r="V536" s="275"/>
    </row>
    <row r="537" spans="20:22" ht="14.55" x14ac:dyDescent="0.3">
      <c r="T537" s="273"/>
      <c r="U537" s="274"/>
      <c r="V537" s="275"/>
    </row>
    <row r="538" spans="20:22" ht="14.55" x14ac:dyDescent="0.3">
      <c r="T538" s="273"/>
      <c r="U538" s="274"/>
      <c r="V538" s="275"/>
    </row>
    <row r="539" spans="20:22" ht="14.55" x14ac:dyDescent="0.3">
      <c r="T539" s="273"/>
      <c r="U539" s="274"/>
      <c r="V539" s="275"/>
    </row>
    <row r="540" spans="20:22" ht="14.55" x14ac:dyDescent="0.3">
      <c r="T540" s="273"/>
      <c r="U540" s="274"/>
      <c r="V540" s="275"/>
    </row>
    <row r="541" spans="20:22" ht="14.55" x14ac:dyDescent="0.3">
      <c r="T541" s="273"/>
      <c r="U541" s="274"/>
      <c r="V541" s="275"/>
    </row>
    <row r="542" spans="20:22" ht="14.55" x14ac:dyDescent="0.3">
      <c r="T542" s="273"/>
      <c r="U542" s="274"/>
      <c r="V542" s="275"/>
    </row>
    <row r="543" spans="20:22" ht="14.55" x14ac:dyDescent="0.3">
      <c r="T543" s="273"/>
      <c r="U543" s="274"/>
      <c r="V543" s="275"/>
    </row>
    <row r="544" spans="20:22" ht="14.55" x14ac:dyDescent="0.3">
      <c r="T544" s="273"/>
      <c r="U544" s="274"/>
      <c r="V544" s="275"/>
    </row>
    <row r="545" spans="20:22" ht="14.55" x14ac:dyDescent="0.3">
      <c r="T545" s="273"/>
      <c r="U545" s="274"/>
      <c r="V545" s="275"/>
    </row>
    <row r="546" spans="20:22" ht="14.55" x14ac:dyDescent="0.3">
      <c r="T546" s="273"/>
      <c r="U546" s="274"/>
      <c r="V546" s="275"/>
    </row>
    <row r="547" spans="20:22" ht="14.55" x14ac:dyDescent="0.3">
      <c r="T547" s="273"/>
      <c r="U547" s="274"/>
      <c r="V547" s="275"/>
    </row>
    <row r="548" spans="20:22" ht="14.55" x14ac:dyDescent="0.3">
      <c r="T548" s="273"/>
      <c r="U548" s="274"/>
      <c r="V548" s="275"/>
    </row>
    <row r="549" spans="20:22" ht="14.55" x14ac:dyDescent="0.3">
      <c r="T549" s="273"/>
      <c r="U549" s="274"/>
      <c r="V549" s="275"/>
    </row>
    <row r="550" spans="20:22" ht="14.55" x14ac:dyDescent="0.3">
      <c r="T550" s="273"/>
      <c r="U550" s="274"/>
      <c r="V550" s="275"/>
    </row>
    <row r="551" spans="20:22" ht="14.55" x14ac:dyDescent="0.3">
      <c r="T551" s="273"/>
      <c r="U551" s="274"/>
      <c r="V551" s="275"/>
    </row>
    <row r="552" spans="20:22" ht="14.55" x14ac:dyDescent="0.3">
      <c r="T552" s="273"/>
      <c r="U552" s="274"/>
      <c r="V552" s="275"/>
    </row>
    <row r="553" spans="20:22" ht="14.55" x14ac:dyDescent="0.3">
      <c r="T553" s="273"/>
      <c r="U553" s="274"/>
      <c r="V553" s="275"/>
    </row>
    <row r="554" spans="20:22" ht="14.55" x14ac:dyDescent="0.3">
      <c r="T554" s="273"/>
      <c r="U554" s="274"/>
      <c r="V554" s="275"/>
    </row>
    <row r="555" spans="20:22" ht="14.55" x14ac:dyDescent="0.3">
      <c r="T555" s="273"/>
      <c r="U555" s="274"/>
      <c r="V555" s="275"/>
    </row>
    <row r="556" spans="20:22" ht="14.55" x14ac:dyDescent="0.3">
      <c r="T556" s="273"/>
      <c r="U556" s="274"/>
      <c r="V556" s="275"/>
    </row>
    <row r="557" spans="20:22" ht="14.55" x14ac:dyDescent="0.3">
      <c r="T557" s="273"/>
      <c r="U557" s="274"/>
      <c r="V557" s="275"/>
    </row>
    <row r="558" spans="20:22" ht="14.55" x14ac:dyDescent="0.3">
      <c r="T558" s="273"/>
      <c r="U558" s="274"/>
      <c r="V558" s="275"/>
    </row>
    <row r="559" spans="20:22" ht="14.55" x14ac:dyDescent="0.3">
      <c r="T559" s="273"/>
      <c r="U559" s="274"/>
      <c r="V559" s="275"/>
    </row>
    <row r="560" spans="20:22" ht="14.55" x14ac:dyDescent="0.3">
      <c r="T560" s="273"/>
      <c r="U560" s="274"/>
      <c r="V560" s="275"/>
    </row>
    <row r="561" spans="20:22" ht="14.55" x14ac:dyDescent="0.3">
      <c r="T561" s="273"/>
      <c r="U561" s="274"/>
      <c r="V561" s="275"/>
    </row>
    <row r="562" spans="20:22" ht="14.55" x14ac:dyDescent="0.3">
      <c r="T562" s="273"/>
      <c r="U562" s="274"/>
      <c r="V562" s="275"/>
    </row>
    <row r="563" spans="20:22" ht="14.55" x14ac:dyDescent="0.3">
      <c r="T563" s="273"/>
      <c r="U563" s="274"/>
      <c r="V563" s="275"/>
    </row>
    <row r="564" spans="20:22" ht="14.55" x14ac:dyDescent="0.3">
      <c r="T564" s="273"/>
      <c r="U564" s="274"/>
      <c r="V564" s="275"/>
    </row>
    <row r="565" spans="20:22" ht="14.55" x14ac:dyDescent="0.3">
      <c r="T565" s="273"/>
      <c r="U565" s="274"/>
      <c r="V565" s="275"/>
    </row>
    <row r="566" spans="20:22" ht="14.55" x14ac:dyDescent="0.3">
      <c r="T566" s="273"/>
      <c r="U566" s="274"/>
      <c r="V566" s="275"/>
    </row>
    <row r="567" spans="20:22" ht="14.55" x14ac:dyDescent="0.3">
      <c r="T567" s="273"/>
      <c r="U567" s="274"/>
      <c r="V567" s="275"/>
    </row>
    <row r="568" spans="20:22" ht="14.55" x14ac:dyDescent="0.3">
      <c r="T568" s="273"/>
      <c r="U568" s="274"/>
      <c r="V568" s="275"/>
    </row>
    <row r="569" spans="20:22" ht="14.55" x14ac:dyDescent="0.3">
      <c r="T569" s="273"/>
      <c r="U569" s="274"/>
      <c r="V569" s="275"/>
    </row>
    <row r="570" spans="20:22" ht="14.55" x14ac:dyDescent="0.3">
      <c r="T570" s="273"/>
      <c r="U570" s="274"/>
      <c r="V570" s="275"/>
    </row>
    <row r="571" spans="20:22" ht="14.55" x14ac:dyDescent="0.3">
      <c r="T571" s="273"/>
      <c r="U571" s="274"/>
      <c r="V571" s="275"/>
    </row>
    <row r="572" spans="20:22" ht="14.55" x14ac:dyDescent="0.3">
      <c r="T572" s="273"/>
      <c r="U572" s="274"/>
      <c r="V572" s="275"/>
    </row>
    <row r="573" spans="20:22" ht="14.55" x14ac:dyDescent="0.3">
      <c r="T573" s="273"/>
      <c r="U573" s="274"/>
      <c r="V573" s="275"/>
    </row>
    <row r="574" spans="20:22" ht="14.55" x14ac:dyDescent="0.3">
      <c r="T574" s="273"/>
      <c r="U574" s="274"/>
      <c r="V574" s="275"/>
    </row>
    <row r="575" spans="20:22" ht="14.55" x14ac:dyDescent="0.3">
      <c r="T575" s="273"/>
      <c r="U575" s="274"/>
      <c r="V575" s="275"/>
    </row>
    <row r="576" spans="20:22" ht="14.55" x14ac:dyDescent="0.3">
      <c r="T576" s="273"/>
      <c r="U576" s="274"/>
      <c r="V576" s="275"/>
    </row>
    <row r="577" spans="20:22" ht="14.55" x14ac:dyDescent="0.3">
      <c r="T577" s="273"/>
      <c r="U577" s="274"/>
      <c r="V577" s="275"/>
    </row>
    <row r="578" spans="20:22" ht="14.55" x14ac:dyDescent="0.3">
      <c r="T578" s="273"/>
      <c r="U578" s="274"/>
      <c r="V578" s="275"/>
    </row>
    <row r="579" spans="20:22" ht="14.55" x14ac:dyDescent="0.3">
      <c r="T579" s="273"/>
      <c r="U579" s="274"/>
      <c r="V579" s="275"/>
    </row>
    <row r="580" spans="20:22" ht="14.55" x14ac:dyDescent="0.3">
      <c r="T580" s="273"/>
      <c r="U580" s="274"/>
      <c r="V580" s="275"/>
    </row>
    <row r="581" spans="20:22" ht="14.55" x14ac:dyDescent="0.3">
      <c r="T581" s="273"/>
      <c r="U581" s="274"/>
      <c r="V581" s="275"/>
    </row>
    <row r="582" spans="20:22" ht="14.55" x14ac:dyDescent="0.3">
      <c r="T582" s="273"/>
      <c r="U582" s="274"/>
      <c r="V582" s="275"/>
    </row>
    <row r="583" spans="20:22" ht="14.55" x14ac:dyDescent="0.3">
      <c r="T583" s="273"/>
      <c r="U583" s="274"/>
      <c r="V583" s="275"/>
    </row>
    <row r="584" spans="20:22" ht="14.55" x14ac:dyDescent="0.3">
      <c r="T584" s="273"/>
      <c r="U584" s="274"/>
      <c r="V584" s="275"/>
    </row>
    <row r="585" spans="20:22" ht="14.55" x14ac:dyDescent="0.3">
      <c r="T585" s="273"/>
      <c r="U585" s="274"/>
      <c r="V585" s="275"/>
    </row>
    <row r="586" spans="20:22" ht="14.55" x14ac:dyDescent="0.3">
      <c r="T586" s="273"/>
      <c r="U586" s="274"/>
      <c r="V586" s="275"/>
    </row>
    <row r="587" spans="20:22" ht="14.55" x14ac:dyDescent="0.3">
      <c r="T587" s="273"/>
      <c r="U587" s="274"/>
      <c r="V587" s="275"/>
    </row>
    <row r="588" spans="20:22" ht="14.55" x14ac:dyDescent="0.3">
      <c r="T588" s="273"/>
      <c r="U588" s="274"/>
      <c r="V588" s="275"/>
    </row>
    <row r="589" spans="20:22" ht="14.55" x14ac:dyDescent="0.3">
      <c r="T589" s="273"/>
      <c r="U589" s="274"/>
      <c r="V589" s="275"/>
    </row>
    <row r="590" spans="20:22" ht="14.55" x14ac:dyDescent="0.3">
      <c r="T590" s="273"/>
      <c r="U590" s="274"/>
      <c r="V590" s="275"/>
    </row>
    <row r="591" spans="20:22" ht="14.55" x14ac:dyDescent="0.3">
      <c r="T591" s="273"/>
      <c r="U591" s="274"/>
      <c r="V591" s="275"/>
    </row>
    <row r="592" spans="20:22" ht="14.55" x14ac:dyDescent="0.3">
      <c r="T592" s="273"/>
      <c r="U592" s="274"/>
      <c r="V592" s="275"/>
    </row>
    <row r="593" spans="20:22" ht="14.55" x14ac:dyDescent="0.3">
      <c r="T593" s="273"/>
      <c r="U593" s="274"/>
      <c r="V593" s="275"/>
    </row>
    <row r="594" spans="20:22" ht="14.55" x14ac:dyDescent="0.3">
      <c r="T594" s="273"/>
      <c r="U594" s="274"/>
      <c r="V594" s="275"/>
    </row>
    <row r="595" spans="20:22" ht="14.55" x14ac:dyDescent="0.3">
      <c r="T595" s="273"/>
      <c r="U595" s="274"/>
      <c r="V595" s="275"/>
    </row>
    <row r="596" spans="20:22" ht="14.55" x14ac:dyDescent="0.3">
      <c r="T596" s="273"/>
      <c r="U596" s="274"/>
      <c r="V596" s="275"/>
    </row>
    <row r="597" spans="20:22" ht="14.55" x14ac:dyDescent="0.3">
      <c r="T597" s="273"/>
      <c r="U597" s="274"/>
      <c r="V597" s="275"/>
    </row>
    <row r="598" spans="20:22" ht="14.55" x14ac:dyDescent="0.3">
      <c r="T598" s="273"/>
      <c r="U598" s="274"/>
      <c r="V598" s="275"/>
    </row>
    <row r="599" spans="20:22" ht="14.55" x14ac:dyDescent="0.3">
      <c r="T599" s="273"/>
      <c r="U599" s="274"/>
      <c r="V599" s="275"/>
    </row>
    <row r="600" spans="20:22" ht="14.55" x14ac:dyDescent="0.3">
      <c r="T600" s="273"/>
      <c r="U600" s="274"/>
      <c r="V600" s="275"/>
    </row>
    <row r="601" spans="20:22" ht="14.55" x14ac:dyDescent="0.3">
      <c r="T601" s="273"/>
      <c r="U601" s="274"/>
      <c r="V601" s="275"/>
    </row>
    <row r="602" spans="20:22" ht="14.55" x14ac:dyDescent="0.3">
      <c r="T602" s="273"/>
      <c r="U602" s="274"/>
      <c r="V602" s="275"/>
    </row>
    <row r="603" spans="20:22" ht="14.55" x14ac:dyDescent="0.3">
      <c r="T603" s="273"/>
      <c r="U603" s="274"/>
      <c r="V603" s="275"/>
    </row>
    <row r="604" spans="20:22" ht="14.55" x14ac:dyDescent="0.3">
      <c r="T604" s="273"/>
      <c r="U604" s="274"/>
      <c r="V604" s="275"/>
    </row>
    <row r="605" spans="20:22" ht="14.55" x14ac:dyDescent="0.3">
      <c r="T605" s="273"/>
      <c r="U605" s="274"/>
      <c r="V605" s="275"/>
    </row>
    <row r="606" spans="20:22" ht="14.55" x14ac:dyDescent="0.3">
      <c r="T606" s="273"/>
      <c r="U606" s="274"/>
      <c r="V606" s="275"/>
    </row>
  </sheetData>
  <sheetProtection selectLockedCells="1"/>
  <mergeCells count="119">
    <mergeCell ref="O28:O46"/>
    <mergeCell ref="L28:L46"/>
    <mergeCell ref="I28:I46"/>
    <mergeCell ref="F28:F46"/>
    <mergeCell ref="C28:C46"/>
    <mergeCell ref="H126:I126"/>
    <mergeCell ref="J126:K126"/>
    <mergeCell ref="H127:I127"/>
    <mergeCell ref="H123:I123"/>
    <mergeCell ref="J123:K123"/>
    <mergeCell ref="H124:I124"/>
    <mergeCell ref="J124:K124"/>
    <mergeCell ref="H125:I125"/>
    <mergeCell ref="J125:K125"/>
    <mergeCell ref="H120:I120"/>
    <mergeCell ref="J120:K120"/>
    <mergeCell ref="H121:I121"/>
    <mergeCell ref="J121:K121"/>
    <mergeCell ref="H122:I122"/>
    <mergeCell ref="J122:K122"/>
    <mergeCell ref="H117:I117"/>
    <mergeCell ref="J117:K117"/>
    <mergeCell ref="H118:I118"/>
    <mergeCell ref="J118:K118"/>
    <mergeCell ref="H119:I119"/>
    <mergeCell ref="J119:K119"/>
    <mergeCell ref="H114:I114"/>
    <mergeCell ref="J114:K114"/>
    <mergeCell ref="H115:I115"/>
    <mergeCell ref="J115:K115"/>
    <mergeCell ref="H116:I116"/>
    <mergeCell ref="J116:K116"/>
    <mergeCell ref="H111:I111"/>
    <mergeCell ref="J111:K111"/>
    <mergeCell ref="H112:I112"/>
    <mergeCell ref="J112:K112"/>
    <mergeCell ref="H113:I113"/>
    <mergeCell ref="J113:K113"/>
    <mergeCell ref="G107:H107"/>
    <mergeCell ref="I107:J107"/>
    <mergeCell ref="K107:M107"/>
    <mergeCell ref="B108:E108"/>
    <mergeCell ref="L108:M108"/>
    <mergeCell ref="H110:K110"/>
    <mergeCell ref="B99:E99"/>
    <mergeCell ref="L99:M99"/>
    <mergeCell ref="C101:C105"/>
    <mergeCell ref="L101:M101"/>
    <mergeCell ref="L102:M102"/>
    <mergeCell ref="L103:M103"/>
    <mergeCell ref="L104:M104"/>
    <mergeCell ref="L105:M105"/>
    <mergeCell ref="L95:M95"/>
    <mergeCell ref="B96:E96"/>
    <mergeCell ref="L96:M96"/>
    <mergeCell ref="B97:E97"/>
    <mergeCell ref="L97:M97"/>
    <mergeCell ref="B98:E98"/>
    <mergeCell ref="L98:M98"/>
    <mergeCell ref="B88:E88"/>
    <mergeCell ref="L88:M88"/>
    <mergeCell ref="B89:E89"/>
    <mergeCell ref="L89:M89"/>
    <mergeCell ref="B90:E90"/>
    <mergeCell ref="L90:M90"/>
    <mergeCell ref="L80:M80"/>
    <mergeCell ref="L81:M81"/>
    <mergeCell ref="L82:M82"/>
    <mergeCell ref="L86:M86"/>
    <mergeCell ref="B87:E87"/>
    <mergeCell ref="L87:M87"/>
    <mergeCell ref="L71:M71"/>
    <mergeCell ref="L72:M72"/>
    <mergeCell ref="L73:M73"/>
    <mergeCell ref="L74:M74"/>
    <mergeCell ref="E76:E77"/>
    <mergeCell ref="L76:M76"/>
    <mergeCell ref="L77:M77"/>
    <mergeCell ref="L78:M78"/>
    <mergeCell ref="L79:M79"/>
    <mergeCell ref="D68:D74"/>
    <mergeCell ref="D76:D82"/>
    <mergeCell ref="B63:E63"/>
    <mergeCell ref="G63:H63"/>
    <mergeCell ref="G67:H67"/>
    <mergeCell ref="I67:J67"/>
    <mergeCell ref="K67:M67"/>
    <mergeCell ref="E68:E69"/>
    <mergeCell ref="L68:M68"/>
    <mergeCell ref="L69:M69"/>
    <mergeCell ref="L70:M70"/>
    <mergeCell ref="B58:E58"/>
    <mergeCell ref="G58:H58"/>
    <mergeCell ref="I58:J58"/>
    <mergeCell ref="K58:L58"/>
    <mergeCell ref="B62:E62"/>
    <mergeCell ref="G62:H62"/>
    <mergeCell ref="D50:H50"/>
    <mergeCell ref="D52:D56"/>
    <mergeCell ref="G52:G56"/>
    <mergeCell ref="G57:H57"/>
    <mergeCell ref="I57:J57"/>
    <mergeCell ref="K57:L57"/>
    <mergeCell ref="P5:Q5"/>
    <mergeCell ref="D7:E7"/>
    <mergeCell ref="G7:H7"/>
    <mergeCell ref="J7:K7"/>
    <mergeCell ref="M7:N7"/>
    <mergeCell ref="P7:Q7"/>
    <mergeCell ref="B4:B7"/>
    <mergeCell ref="D4:E4"/>
    <mergeCell ref="G4:H4"/>
    <mergeCell ref="J4:K4"/>
    <mergeCell ref="M4:N4"/>
    <mergeCell ref="P4:Q4"/>
    <mergeCell ref="D5:E5"/>
    <mergeCell ref="G5:H5"/>
    <mergeCell ref="J5:K5"/>
    <mergeCell ref="M5:N5"/>
  </mergeCells>
  <conditionalFormatting sqref="C131:P139">
    <cfRule type="cellIs" dxfId="405" priority="12" operator="greaterThan">
      <formula>0</formula>
    </cfRule>
  </conditionalFormatting>
  <conditionalFormatting sqref="B8:B46">
    <cfRule type="colorScale" priority="11">
      <colorScale>
        <cfvo type="min"/>
        <cfvo type="percentile" val="50"/>
        <cfvo type="max"/>
        <color rgb="FF63BE7B"/>
        <color rgb="FFFFEB84"/>
        <color rgb="FFF8696B"/>
      </colorScale>
    </cfRule>
  </conditionalFormatting>
  <conditionalFormatting sqref="D8:D46">
    <cfRule type="colorScale" priority="10">
      <colorScale>
        <cfvo type="min"/>
        <cfvo type="percentile" val="50"/>
        <cfvo type="max"/>
        <color rgb="FF63BE7B"/>
        <color rgb="FFFFEB84"/>
        <color rgb="FFF8696B"/>
      </colorScale>
    </cfRule>
  </conditionalFormatting>
  <conditionalFormatting sqref="E8:E46">
    <cfRule type="colorScale" priority="9">
      <colorScale>
        <cfvo type="min"/>
        <cfvo type="percentile" val="50"/>
        <cfvo type="max"/>
        <color rgb="FF63BE7B"/>
        <color rgb="FFFFEB84"/>
        <color rgb="FFF8696B"/>
      </colorScale>
    </cfRule>
  </conditionalFormatting>
  <conditionalFormatting sqref="G8:G46">
    <cfRule type="colorScale" priority="8">
      <colorScale>
        <cfvo type="min"/>
        <cfvo type="percentile" val="50"/>
        <cfvo type="max"/>
        <color rgb="FF63BE7B"/>
        <color rgb="FFFFEB84"/>
        <color rgb="FFF8696B"/>
      </colorScale>
    </cfRule>
  </conditionalFormatting>
  <conditionalFormatting sqref="H8:H46">
    <cfRule type="colorScale" priority="7">
      <colorScale>
        <cfvo type="min"/>
        <cfvo type="percentile" val="50"/>
        <cfvo type="max"/>
        <color rgb="FF63BE7B"/>
        <color rgb="FFFFEB84"/>
        <color rgb="FFF8696B"/>
      </colorScale>
    </cfRule>
  </conditionalFormatting>
  <conditionalFormatting sqref="J8:J46">
    <cfRule type="colorScale" priority="6">
      <colorScale>
        <cfvo type="min"/>
        <cfvo type="percentile" val="50"/>
        <cfvo type="max"/>
        <color rgb="FF63BE7B"/>
        <color rgb="FFFFEB84"/>
        <color rgb="FFF8696B"/>
      </colorScale>
    </cfRule>
  </conditionalFormatting>
  <conditionalFormatting sqref="K8:K46">
    <cfRule type="colorScale" priority="5">
      <colorScale>
        <cfvo type="min"/>
        <cfvo type="percentile" val="50"/>
        <cfvo type="max"/>
        <color rgb="FF63BE7B"/>
        <color rgb="FFFFEB84"/>
        <color rgb="FFF8696B"/>
      </colorScale>
    </cfRule>
  </conditionalFormatting>
  <conditionalFormatting sqref="M8:M46">
    <cfRule type="colorScale" priority="4">
      <colorScale>
        <cfvo type="min"/>
        <cfvo type="percentile" val="50"/>
        <cfvo type="max"/>
        <color rgb="FF63BE7B"/>
        <color rgb="FFFFEB84"/>
        <color rgb="FFF8696B"/>
      </colorScale>
    </cfRule>
  </conditionalFormatting>
  <conditionalFormatting sqref="N8:N46">
    <cfRule type="colorScale" priority="3">
      <colorScale>
        <cfvo type="min"/>
        <cfvo type="percentile" val="50"/>
        <cfvo type="max"/>
        <color rgb="FF63BE7B"/>
        <color rgb="FFFFEB84"/>
        <color rgb="FFF8696B"/>
      </colorScale>
    </cfRule>
  </conditionalFormatting>
  <conditionalFormatting sqref="P8:P46">
    <cfRule type="colorScale" priority="2">
      <colorScale>
        <cfvo type="min"/>
        <cfvo type="percentile" val="50"/>
        <cfvo type="max"/>
        <color rgb="FF63BE7B"/>
        <color rgb="FFFFEB84"/>
        <color rgb="FFF8696B"/>
      </colorScale>
    </cfRule>
  </conditionalFormatting>
  <conditionalFormatting sqref="Q8:Q46">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494C-D3BF-40DD-8590-9A6D1FA8F7BA}">
  <sheetPr>
    <tabColor rgb="FFFFC000"/>
  </sheetPr>
  <dimension ref="A1:AK294"/>
  <sheetViews>
    <sheetView workbookViewId="0"/>
  </sheetViews>
  <sheetFormatPr baseColWidth="10" defaultColWidth="11.44140625" defaultRowHeight="13.9" x14ac:dyDescent="0.25"/>
  <cols>
    <col min="1" max="1" width="9.109375" style="10" customWidth="1"/>
    <col min="2" max="21" width="9.33203125" style="8" customWidth="1"/>
    <col min="22" max="22" width="9.33203125" style="35" customWidth="1"/>
    <col min="23" max="37" width="11.44140625" style="35"/>
    <col min="38" max="16384" width="11.44140625" style="8"/>
  </cols>
  <sheetData>
    <row r="1" spans="1:32" x14ac:dyDescent="0.25">
      <c r="A1" s="359" t="str">
        <f>Überblick!X114</f>
        <v/>
      </c>
      <c r="B1" s="116" t="str">
        <f>IF(Überblick!B2=Überblick!L4,'Technische Ausrüstung'!Q1,'Technische Ausrüstung'!Q2)</f>
        <v>Honorarangebot - Technische Ausrüstung</v>
      </c>
      <c r="Q1" s="113" t="s">
        <v>495</v>
      </c>
      <c r="T1" s="689" t="str">
        <f>Hochbauplanung!T1</f>
        <v>Version: 24.07.2023</v>
      </c>
      <c r="U1" s="689"/>
      <c r="V1" s="38"/>
      <c r="W1" s="38"/>
      <c r="X1" s="38"/>
      <c r="Y1" s="38"/>
      <c r="Z1" s="38"/>
      <c r="AA1" s="38"/>
      <c r="AB1" s="38"/>
      <c r="AC1" s="38"/>
      <c r="AD1" s="38"/>
      <c r="AE1" s="38"/>
      <c r="AF1" s="38"/>
    </row>
    <row r="2" spans="1:32" x14ac:dyDescent="0.25">
      <c r="A2" s="357"/>
      <c r="Q2" s="113" t="s">
        <v>496</v>
      </c>
      <c r="R2" s="381" t="s">
        <v>120</v>
      </c>
      <c r="S2" s="759" t="str">
        <f>IF(Überblick!Q2=0,"",Überblick!Q2)</f>
        <v/>
      </c>
      <c r="T2" s="759"/>
      <c r="U2" s="759"/>
      <c r="V2" s="38"/>
      <c r="W2" s="38"/>
      <c r="X2" s="38"/>
      <c r="Y2" s="38"/>
      <c r="Z2" s="38"/>
      <c r="AA2" s="38"/>
      <c r="AB2" s="38"/>
      <c r="AC2" s="38"/>
      <c r="AD2" s="38"/>
      <c r="AE2" s="38"/>
      <c r="AF2" s="38"/>
    </row>
    <row r="3" spans="1:32" x14ac:dyDescent="0.25">
      <c r="A3" s="357" t="s">
        <v>122</v>
      </c>
      <c r="B3" s="9" t="s">
        <v>466</v>
      </c>
      <c r="R3" s="381" t="s">
        <v>27</v>
      </c>
      <c r="S3" s="759" t="str">
        <f>IF(Überblick!G29=0,"",Überblick!G29)</f>
        <v>Breite Straße, 10178 Berlin-Mitte (Los 2)</v>
      </c>
      <c r="T3" s="759"/>
      <c r="U3" s="759"/>
      <c r="V3" s="38"/>
      <c r="W3" s="38"/>
      <c r="X3" s="38"/>
      <c r="Y3" s="38"/>
      <c r="Z3" s="38"/>
      <c r="AA3" s="38"/>
      <c r="AB3" s="38"/>
      <c r="AC3" s="38"/>
      <c r="AD3" s="38"/>
      <c r="AE3" s="38"/>
      <c r="AF3" s="38"/>
    </row>
    <row r="4" spans="1:32" ht="14.55" thickBot="1" x14ac:dyDescent="0.3">
      <c r="A4" s="357"/>
      <c r="R4" s="381" t="s">
        <v>20</v>
      </c>
      <c r="S4" s="759" t="str">
        <f>IF(Überblick!D19=0,"",Überblick!D19)</f>
        <v/>
      </c>
      <c r="T4" s="759"/>
      <c r="U4" s="759"/>
      <c r="V4" s="38"/>
      <c r="W4" s="38"/>
      <c r="X4" s="38"/>
      <c r="Y4" s="38"/>
      <c r="Z4" s="38"/>
      <c r="AA4" s="38"/>
      <c r="AB4" s="38"/>
      <c r="AC4" s="38"/>
      <c r="AD4" s="38"/>
      <c r="AE4" s="38"/>
      <c r="AF4" s="38"/>
    </row>
    <row r="5" spans="1:32" ht="33.950000000000003" customHeight="1" thickBot="1" x14ac:dyDescent="0.3">
      <c r="A5" s="357"/>
      <c r="B5" s="14"/>
      <c r="C5" s="15"/>
      <c r="D5" s="15"/>
      <c r="E5" s="15"/>
      <c r="F5" s="1000" t="s">
        <v>127</v>
      </c>
      <c r="G5" s="1001"/>
      <c r="H5" s="1001"/>
      <c r="I5" s="1002"/>
      <c r="J5" s="1000" t="s">
        <v>128</v>
      </c>
      <c r="K5" s="1001"/>
      <c r="L5" s="1001"/>
      <c r="M5" s="1002"/>
      <c r="N5" s="1000" t="s">
        <v>129</v>
      </c>
      <c r="O5" s="1001"/>
      <c r="P5" s="1001"/>
      <c r="Q5" s="1002"/>
      <c r="R5" s="50"/>
      <c r="S5" s="50"/>
      <c r="T5" s="50"/>
      <c r="U5" s="50"/>
      <c r="V5" s="50"/>
      <c r="W5" s="50"/>
      <c r="X5" s="50"/>
      <c r="Y5" s="38"/>
      <c r="Z5" s="38"/>
      <c r="AA5" s="38"/>
      <c r="AB5" s="38"/>
      <c r="AC5" s="38"/>
      <c r="AD5" s="38"/>
      <c r="AE5" s="38"/>
      <c r="AF5" s="38"/>
    </row>
    <row r="6" spans="1:32" ht="14.55" thickBot="1" x14ac:dyDescent="0.3">
      <c r="A6" s="357"/>
      <c r="B6" s="14"/>
      <c r="C6" s="15"/>
      <c r="D6" s="15"/>
      <c r="E6" s="15"/>
      <c r="F6" s="959" t="s">
        <v>131</v>
      </c>
      <c r="G6" s="960"/>
      <c r="H6" s="936"/>
      <c r="I6" s="937"/>
      <c r="J6" s="955" t="s">
        <v>131</v>
      </c>
      <c r="K6" s="956"/>
      <c r="L6" s="936"/>
      <c r="M6" s="937"/>
      <c r="N6" s="955" t="s">
        <v>131</v>
      </c>
      <c r="O6" s="956"/>
      <c r="P6" s="936"/>
      <c r="Q6" s="937"/>
      <c r="R6" s="50"/>
      <c r="S6" s="50"/>
      <c r="T6" s="50"/>
      <c r="U6" s="50"/>
      <c r="V6" s="50"/>
      <c r="W6" s="50"/>
      <c r="X6" s="50"/>
      <c r="Y6" s="38"/>
      <c r="Z6" s="38"/>
      <c r="AA6" s="38"/>
      <c r="AB6" s="38"/>
      <c r="AC6" s="38"/>
      <c r="AD6" s="38"/>
      <c r="AE6" s="38"/>
      <c r="AF6" s="38"/>
    </row>
    <row r="7" spans="1:32" ht="14.55" thickBot="1" x14ac:dyDescent="0.3">
      <c r="A7" s="357"/>
      <c r="B7" s="961" t="s">
        <v>132</v>
      </c>
      <c r="C7" s="962"/>
      <c r="D7" s="962"/>
      <c r="E7" s="963"/>
      <c r="F7" s="957" t="s">
        <v>117</v>
      </c>
      <c r="G7" s="958"/>
      <c r="H7" s="946" t="s">
        <v>116</v>
      </c>
      <c r="I7" s="947"/>
      <c r="J7" s="957" t="s">
        <v>117</v>
      </c>
      <c r="K7" s="958"/>
      <c r="L7" s="946" t="s">
        <v>116</v>
      </c>
      <c r="M7" s="947"/>
      <c r="N7" s="957" t="s">
        <v>117</v>
      </c>
      <c r="O7" s="958"/>
      <c r="P7" s="946" t="s">
        <v>116</v>
      </c>
      <c r="Q7" s="947"/>
      <c r="R7" s="97"/>
      <c r="S7" s="97"/>
      <c r="T7" s="97"/>
      <c r="U7" s="97"/>
      <c r="V7" s="97"/>
      <c r="W7" s="97"/>
      <c r="X7" s="97"/>
      <c r="Y7" s="38"/>
      <c r="Z7" s="38"/>
      <c r="AA7" s="38"/>
      <c r="AB7" s="38"/>
      <c r="AC7" s="38"/>
      <c r="AD7" s="38"/>
      <c r="AE7" s="38"/>
      <c r="AF7" s="38"/>
    </row>
    <row r="8" spans="1:32" ht="14.55" thickBot="1" x14ac:dyDescent="0.3">
      <c r="A8" s="357"/>
      <c r="B8" s="1303" t="s">
        <v>383</v>
      </c>
      <c r="C8" s="1304"/>
      <c r="D8" s="1304"/>
      <c r="E8" s="1305"/>
      <c r="F8" s="942">
        <f>H8*1.19</f>
        <v>0</v>
      </c>
      <c r="G8" s="1306"/>
      <c r="H8" s="1307"/>
      <c r="I8" s="1308"/>
      <c r="J8" s="942">
        <f>L8*1.19</f>
        <v>0</v>
      </c>
      <c r="K8" s="943"/>
      <c r="L8" s="944"/>
      <c r="M8" s="945"/>
      <c r="N8" s="942">
        <f>P8*1.19</f>
        <v>0</v>
      </c>
      <c r="O8" s="943"/>
      <c r="P8" s="944"/>
      <c r="Q8" s="945"/>
      <c r="R8" s="58">
        <f>H8+L8+P8</f>
        <v>0</v>
      </c>
      <c r="S8" s="58">
        <f>IF((R8+AB245)&gt;0,1,0)</f>
        <v>0</v>
      </c>
      <c r="T8" s="58"/>
      <c r="U8" s="58"/>
      <c r="V8" s="58"/>
      <c r="W8" s="58"/>
      <c r="X8" s="58"/>
      <c r="Y8" s="38"/>
      <c r="Z8" s="38"/>
      <c r="AA8" s="38"/>
      <c r="AB8" s="38"/>
      <c r="AC8" s="38"/>
      <c r="AD8" s="38"/>
      <c r="AE8" s="38"/>
      <c r="AF8" s="38"/>
    </row>
    <row r="9" spans="1:32" x14ac:dyDescent="0.25">
      <c r="A9" s="357"/>
      <c r="B9" s="17"/>
      <c r="C9" s="17"/>
      <c r="D9" s="17"/>
      <c r="E9" s="17"/>
      <c r="F9" s="1034" t="str">
        <f>IF(H8&gt;'Berechnung - Tech. Ausrüstung'!$A$25,$R$9,"")</f>
        <v/>
      </c>
      <c r="G9" s="1034"/>
      <c r="H9" s="1034"/>
      <c r="I9" s="1034"/>
      <c r="J9" s="1034" t="str">
        <f>IF(L8&gt;'Berechnung - Tech. Ausrüstung'!$A$25,$R$9,"")</f>
        <v/>
      </c>
      <c r="K9" s="1034"/>
      <c r="L9" s="1034"/>
      <c r="M9" s="1034"/>
      <c r="N9" s="1034" t="str">
        <f>IF(P8&gt;'Berechnung - Tech. Ausrüstung'!$A$25,$R$9,"")</f>
        <v/>
      </c>
      <c r="O9" s="1034"/>
      <c r="P9" s="1034"/>
      <c r="Q9" s="1034"/>
      <c r="R9" s="58" t="s">
        <v>136</v>
      </c>
      <c r="S9" s="58"/>
      <c r="T9" s="58"/>
      <c r="U9" s="58"/>
      <c r="V9" s="58"/>
      <c r="W9" s="58"/>
      <c r="X9" s="58"/>
      <c r="Y9" s="38"/>
      <c r="Z9" s="38"/>
      <c r="AA9" s="38"/>
      <c r="AB9" s="38"/>
      <c r="AC9" s="38"/>
      <c r="AD9" s="38"/>
      <c r="AE9" s="38"/>
      <c r="AF9" s="38"/>
    </row>
    <row r="10" spans="1:32" x14ac:dyDescent="0.25">
      <c r="A10" s="357"/>
      <c r="B10" s="24"/>
      <c r="C10" s="24"/>
      <c r="D10" s="24"/>
      <c r="E10" s="24"/>
      <c r="F10" s="1035"/>
      <c r="G10" s="1035"/>
      <c r="H10" s="1035"/>
      <c r="I10" s="1035"/>
      <c r="J10" s="1035"/>
      <c r="K10" s="1035"/>
      <c r="L10" s="1035"/>
      <c r="M10" s="1035"/>
      <c r="N10" s="1035"/>
      <c r="O10" s="1035"/>
      <c r="P10" s="1035"/>
      <c r="Q10" s="1035"/>
      <c r="R10" s="58"/>
      <c r="S10" s="58"/>
      <c r="T10" s="58"/>
      <c r="U10" s="58"/>
      <c r="V10" s="58"/>
      <c r="W10" s="58"/>
      <c r="X10" s="58"/>
      <c r="Y10" s="38"/>
      <c r="Z10" s="38"/>
      <c r="AA10" s="38"/>
      <c r="AB10" s="38"/>
      <c r="AC10" s="38"/>
      <c r="AD10" s="38"/>
      <c r="AE10" s="38"/>
      <c r="AF10" s="38"/>
    </row>
    <row r="11" spans="1:32" x14ac:dyDescent="0.25">
      <c r="A11" s="357"/>
      <c r="B11" s="24"/>
      <c r="C11" s="24"/>
      <c r="D11" s="24"/>
      <c r="E11" s="24"/>
      <c r="F11" s="1035"/>
      <c r="G11" s="1035"/>
      <c r="H11" s="1035"/>
      <c r="I11" s="1035"/>
      <c r="J11" s="1035"/>
      <c r="K11" s="1035"/>
      <c r="L11" s="1035"/>
      <c r="M11" s="1035"/>
      <c r="N11" s="1035"/>
      <c r="O11" s="1035"/>
      <c r="P11" s="1035"/>
      <c r="Q11" s="1035"/>
      <c r="R11" s="58"/>
      <c r="S11" s="58"/>
      <c r="T11" s="58"/>
      <c r="U11" s="58"/>
      <c r="V11" s="58"/>
      <c r="W11" s="58"/>
      <c r="X11" s="58"/>
      <c r="Y11" s="38"/>
      <c r="Z11" s="38"/>
      <c r="AA11" s="38"/>
      <c r="AB11" s="38"/>
      <c r="AC11" s="38"/>
      <c r="AD11" s="38"/>
      <c r="AE11" s="38"/>
      <c r="AF11" s="38"/>
    </row>
    <row r="12" spans="1:32" x14ac:dyDescent="0.25">
      <c r="A12" s="357"/>
      <c r="B12" s="8" t="s">
        <v>143</v>
      </c>
      <c r="R12" s="38"/>
      <c r="S12" s="38"/>
      <c r="T12" s="38"/>
      <c r="U12" s="38"/>
      <c r="V12" s="38"/>
      <c r="W12" s="38"/>
      <c r="X12" s="38"/>
      <c r="Y12" s="38"/>
      <c r="Z12" s="38"/>
      <c r="AA12" s="38"/>
      <c r="AB12" s="38"/>
      <c r="AC12" s="38"/>
      <c r="AD12" s="38"/>
      <c r="AE12" s="38"/>
      <c r="AF12" s="38"/>
    </row>
    <row r="13" spans="1:32" x14ac:dyDescent="0.25">
      <c r="A13" s="357"/>
      <c r="B13" s="8" t="s">
        <v>144</v>
      </c>
      <c r="R13" s="38"/>
      <c r="S13" s="38"/>
      <c r="T13" s="38"/>
      <c r="U13" s="38"/>
      <c r="V13" s="38"/>
      <c r="W13" s="38"/>
      <c r="X13" s="38"/>
      <c r="Y13" s="38"/>
      <c r="Z13" s="38"/>
      <c r="AA13" s="38"/>
      <c r="AB13" s="38"/>
      <c r="AC13" s="38"/>
      <c r="AD13" s="38"/>
      <c r="AE13" s="38"/>
      <c r="AF13" s="38"/>
    </row>
    <row r="14" spans="1:32" ht="14.55" thickBot="1" x14ac:dyDescent="0.3">
      <c r="A14" s="357"/>
      <c r="B14" s="9"/>
      <c r="G14" s="22"/>
      <c r="H14" s="10"/>
      <c r="I14" s="25"/>
      <c r="J14" s="22"/>
      <c r="K14" s="22"/>
      <c r="L14" s="25"/>
      <c r="M14" s="26"/>
      <c r="N14" s="26"/>
      <c r="O14" s="27"/>
      <c r="R14" s="38"/>
      <c r="S14" s="261"/>
      <c r="T14" s="58"/>
      <c r="U14" s="38"/>
      <c r="V14" s="38"/>
      <c r="W14" s="38"/>
      <c r="X14" s="38"/>
      <c r="Y14" s="38"/>
      <c r="Z14" s="38"/>
      <c r="AA14" s="38"/>
      <c r="AB14" s="38"/>
      <c r="AC14" s="38"/>
      <c r="AD14" s="38"/>
      <c r="AE14" s="38"/>
      <c r="AF14" s="38"/>
    </row>
    <row r="15" spans="1:32" x14ac:dyDescent="0.25">
      <c r="A15" s="357"/>
      <c r="B15" s="1096" t="s">
        <v>145</v>
      </c>
      <c r="C15" s="1097"/>
      <c r="D15" s="1097"/>
      <c r="E15" s="1098"/>
      <c r="F15" s="1064">
        <v>1</v>
      </c>
      <c r="G15" s="1065"/>
      <c r="H15" s="1065"/>
      <c r="I15" s="1065"/>
      <c r="J15" s="1065"/>
      <c r="K15" s="1065"/>
      <c r="L15" s="1065"/>
      <c r="M15" s="1065"/>
      <c r="N15" s="1065"/>
      <c r="O15" s="1065"/>
      <c r="P15" s="1065"/>
      <c r="Q15" s="1066"/>
      <c r="R15" s="38"/>
      <c r="S15" s="261"/>
      <c r="T15" s="58"/>
      <c r="U15" s="38" t="s">
        <v>146</v>
      </c>
      <c r="V15" s="38">
        <v>1</v>
      </c>
      <c r="W15" s="38"/>
      <c r="X15" s="38"/>
      <c r="Y15" s="38"/>
      <c r="Z15" s="38"/>
      <c r="AA15" s="38"/>
      <c r="AB15" s="38"/>
      <c r="AC15" s="38"/>
      <c r="AD15" s="38"/>
      <c r="AE15" s="38"/>
      <c r="AF15" s="38"/>
    </row>
    <row r="16" spans="1:32" ht="14.55" thickBot="1" x14ac:dyDescent="0.3">
      <c r="A16" s="357"/>
      <c r="B16" s="1099" t="s">
        <v>147</v>
      </c>
      <c r="C16" s="1100"/>
      <c r="D16" s="1100"/>
      <c r="E16" s="1101"/>
      <c r="F16" s="1067" t="s">
        <v>148</v>
      </c>
      <c r="G16" s="1068"/>
      <c r="H16" s="1068"/>
      <c r="I16" s="1068"/>
      <c r="J16" s="1068"/>
      <c r="K16" s="1068"/>
      <c r="L16" s="1068"/>
      <c r="M16" s="1068"/>
      <c r="N16" s="1068"/>
      <c r="O16" s="1068"/>
      <c r="P16" s="1068"/>
      <c r="Q16" s="1069"/>
      <c r="R16" s="38"/>
      <c r="S16" s="261"/>
      <c r="T16" s="58"/>
      <c r="U16" s="38"/>
      <c r="V16" s="38">
        <v>2</v>
      </c>
      <c r="W16" s="38"/>
      <c r="X16" s="38"/>
      <c r="Y16" s="38"/>
      <c r="Z16" s="38"/>
      <c r="AA16" s="38"/>
      <c r="AB16" s="38"/>
      <c r="AC16" s="38"/>
      <c r="AD16" s="38"/>
      <c r="AE16" s="38"/>
      <c r="AF16" s="38"/>
    </row>
    <row r="17" spans="1:32" x14ac:dyDescent="0.25">
      <c r="A17" s="357"/>
      <c r="B17" s="28"/>
      <c r="C17" s="28"/>
      <c r="D17" s="28"/>
      <c r="E17" s="28"/>
      <c r="F17" s="988" t="s">
        <v>149</v>
      </c>
      <c r="G17" s="988"/>
      <c r="H17" s="988"/>
      <c r="I17" s="988"/>
      <c r="J17" s="988" t="s">
        <v>150</v>
      </c>
      <c r="K17" s="988"/>
      <c r="L17" s="988"/>
      <c r="M17" s="988"/>
      <c r="N17" s="988" t="s">
        <v>384</v>
      </c>
      <c r="O17" s="988"/>
      <c r="P17" s="988"/>
      <c r="Q17" s="988"/>
      <c r="R17" s="38"/>
      <c r="S17" s="261"/>
      <c r="T17" s="58"/>
      <c r="U17" s="38"/>
      <c r="V17" s="38">
        <v>3</v>
      </c>
      <c r="W17" s="38"/>
      <c r="X17" s="38"/>
      <c r="Y17" s="38"/>
      <c r="Z17" s="38"/>
      <c r="AA17" s="38"/>
      <c r="AB17" s="38"/>
      <c r="AC17" s="38"/>
      <c r="AD17" s="38"/>
      <c r="AE17" s="38"/>
      <c r="AF17" s="38"/>
    </row>
    <row r="18" spans="1:32" ht="14.55" thickBot="1" x14ac:dyDescent="0.3">
      <c r="A18" s="357"/>
      <c r="B18" s="28"/>
      <c r="C18" s="28"/>
      <c r="D18" s="28"/>
      <c r="E18" s="28"/>
      <c r="F18" s="989"/>
      <c r="G18" s="989"/>
      <c r="H18" s="989"/>
      <c r="I18" s="989"/>
      <c r="J18" s="989"/>
      <c r="K18" s="989"/>
      <c r="L18" s="989"/>
      <c r="M18" s="989"/>
      <c r="N18" s="989"/>
      <c r="O18" s="989"/>
      <c r="P18" s="989"/>
      <c r="Q18" s="989"/>
      <c r="R18" s="38"/>
      <c r="S18" s="261"/>
      <c r="T18" s="58"/>
      <c r="U18" s="38"/>
      <c r="V18" s="38"/>
      <c r="W18" s="38"/>
      <c r="X18" s="38"/>
      <c r="Y18" s="38"/>
      <c r="Z18" s="38"/>
      <c r="AA18" s="38"/>
      <c r="AB18" s="38"/>
      <c r="AC18" s="38"/>
      <c r="AD18" s="38"/>
      <c r="AE18" s="38"/>
      <c r="AF18" s="38"/>
    </row>
    <row r="19" spans="1:32" ht="14.55" thickBot="1" x14ac:dyDescent="0.3">
      <c r="A19" s="357"/>
      <c r="B19" s="9"/>
      <c r="C19" s="9"/>
      <c r="D19" s="9"/>
      <c r="E19" s="36"/>
      <c r="F19" s="1292">
        <f>'Berechnung - Tech. Ausrüstung'!H105</f>
        <v>0</v>
      </c>
      <c r="G19" s="1293"/>
      <c r="H19" s="1293"/>
      <c r="I19" s="1294"/>
      <c r="J19" s="1292" t="str">
        <f>IF('Berechnung - Tech. Ausrüstung'!J105=0,"Kostenschätzung liegt noch nicht vor",'Berechnung - Tech. Ausrüstung'!J105)</f>
        <v>Kostenschätzung liegt noch nicht vor</v>
      </c>
      <c r="K19" s="1293"/>
      <c r="L19" s="1293"/>
      <c r="M19" s="1294"/>
      <c r="N19" s="1292" t="str">
        <f>IF('Berechnung - Tech. Ausrüstung'!L105=0,"Kostenberechnung liegt noch nicht vor",'Berechnung - Tech. Ausrüstung'!L105)</f>
        <v>Kostenberechnung liegt noch nicht vor</v>
      </c>
      <c r="O19" s="1293"/>
      <c r="P19" s="1293"/>
      <c r="Q19" s="1294"/>
      <c r="R19" s="38"/>
      <c r="S19" s="261"/>
      <c r="T19" s="58"/>
      <c r="U19" s="38"/>
      <c r="V19" s="38"/>
      <c r="W19" s="38"/>
      <c r="X19" s="38"/>
      <c r="Y19" s="38"/>
      <c r="Z19" s="38"/>
      <c r="AA19" s="38"/>
      <c r="AB19" s="38"/>
      <c r="AC19" s="38"/>
      <c r="AD19" s="38"/>
      <c r="AE19" s="38"/>
      <c r="AF19" s="38"/>
    </row>
    <row r="20" spans="1:32" x14ac:dyDescent="0.25">
      <c r="A20" s="357"/>
      <c r="B20" s="9"/>
      <c r="G20" s="22"/>
      <c r="H20" s="10"/>
      <c r="I20" s="25"/>
      <c r="J20" s="22"/>
      <c r="K20" s="22"/>
      <c r="L20" s="25"/>
      <c r="M20" s="26"/>
      <c r="N20" s="26"/>
      <c r="O20" s="27"/>
      <c r="R20" s="38"/>
      <c r="S20" s="261"/>
      <c r="T20" s="58"/>
      <c r="U20" s="38"/>
      <c r="V20" s="38"/>
      <c r="W20" s="38"/>
      <c r="X20" s="38"/>
      <c r="Y20" s="38"/>
      <c r="Z20" s="38"/>
      <c r="AA20" s="38"/>
      <c r="AB20" s="38"/>
      <c r="AC20" s="38"/>
      <c r="AD20" s="38"/>
      <c r="AE20" s="38"/>
      <c r="AF20" s="38"/>
    </row>
    <row r="21" spans="1:32" x14ac:dyDescent="0.25">
      <c r="A21" s="358" t="s">
        <v>152</v>
      </c>
      <c r="B21" s="11" t="s">
        <v>153</v>
      </c>
      <c r="C21" s="12"/>
      <c r="D21" s="12"/>
      <c r="E21" s="29"/>
      <c r="F21" s="12"/>
      <c r="G21" s="12"/>
      <c r="H21" s="13"/>
      <c r="I21" s="13"/>
      <c r="R21" s="38"/>
      <c r="S21" s="38"/>
      <c r="T21" s="38"/>
      <c r="U21" s="38"/>
      <c r="V21" s="38"/>
      <c r="W21" s="38"/>
      <c r="X21" s="38"/>
      <c r="Y21" s="38"/>
      <c r="Z21" s="38"/>
      <c r="AA21" s="38"/>
      <c r="AB21" s="38"/>
      <c r="AC21" s="38"/>
      <c r="AD21" s="38"/>
      <c r="AE21" s="38"/>
      <c r="AF21" s="38"/>
    </row>
    <row r="22" spans="1:32" ht="14.55" thickBot="1" x14ac:dyDescent="0.3">
      <c r="A22" s="358"/>
      <c r="B22" s="12"/>
      <c r="C22" s="12"/>
      <c r="D22" s="12"/>
      <c r="E22" s="29"/>
      <c r="F22" s="12"/>
      <c r="G22" s="12"/>
      <c r="H22" s="30"/>
      <c r="I22" s="30"/>
      <c r="R22" s="38"/>
      <c r="S22" s="109"/>
      <c r="T22" s="109"/>
      <c r="U22" s="109"/>
      <c r="V22" s="38"/>
      <c r="W22" s="38"/>
      <c r="X22" s="38"/>
      <c r="Y22" s="38"/>
      <c r="Z22" s="38"/>
      <c r="AA22" s="38"/>
      <c r="AB22" s="38"/>
      <c r="AC22" s="38"/>
      <c r="AD22" s="38"/>
      <c r="AE22" s="38"/>
      <c r="AF22" s="38"/>
    </row>
    <row r="23" spans="1:32" ht="45.2" customHeight="1" thickBot="1" x14ac:dyDescent="0.3">
      <c r="A23" s="358"/>
      <c r="B23" s="1309" t="s">
        <v>155</v>
      </c>
      <c r="C23" s="1310"/>
      <c r="D23" s="1310"/>
      <c r="E23" s="1311"/>
      <c r="F23" s="1312"/>
      <c r="G23" s="1313"/>
      <c r="H23" s="1313"/>
      <c r="I23" s="1313"/>
      <c r="J23" s="1313"/>
      <c r="K23" s="1313"/>
      <c r="L23" s="1313"/>
      <c r="M23" s="1313"/>
      <c r="N23" s="1313"/>
      <c r="O23" s="1313"/>
      <c r="P23" s="1313"/>
      <c r="Q23" s="1314"/>
      <c r="R23" s="117">
        <f>IF(AND(R8&gt;0,F23=""),1,0)</f>
        <v>0</v>
      </c>
      <c r="S23" s="262"/>
      <c r="T23" s="262"/>
      <c r="U23" s="262"/>
      <c r="V23" s="262"/>
      <c r="W23" s="262"/>
      <c r="X23" s="262"/>
      <c r="Y23" s="38"/>
      <c r="Z23" s="38"/>
      <c r="AA23" s="38"/>
      <c r="AB23" s="38"/>
      <c r="AC23" s="38"/>
      <c r="AD23" s="38"/>
      <c r="AE23" s="38"/>
      <c r="AF23" s="38"/>
    </row>
    <row r="24" spans="1:32" x14ac:dyDescent="0.25">
      <c r="A24" s="358"/>
      <c r="B24" s="613"/>
      <c r="C24" s="614"/>
      <c r="D24" s="614"/>
      <c r="E24" s="614"/>
      <c r="F24" s="615"/>
      <c r="G24" s="615"/>
      <c r="H24" s="615"/>
      <c r="I24" s="615"/>
      <c r="J24" s="615"/>
      <c r="K24" s="615"/>
      <c r="L24" s="615"/>
      <c r="M24" s="615"/>
      <c r="N24" s="615"/>
      <c r="O24" s="615"/>
      <c r="P24" s="615"/>
      <c r="Q24" s="615"/>
      <c r="R24" s="117"/>
      <c r="S24" s="262"/>
      <c r="T24" s="262"/>
      <c r="U24" s="262"/>
      <c r="V24" s="262"/>
      <c r="W24" s="262"/>
      <c r="X24" s="262"/>
      <c r="Y24" s="38"/>
      <c r="Z24" s="38"/>
      <c r="AA24" s="38"/>
      <c r="AB24" s="38"/>
      <c r="AC24" s="38"/>
      <c r="AD24" s="38"/>
      <c r="AE24" s="38"/>
      <c r="AF24" s="38"/>
    </row>
    <row r="25" spans="1:32" x14ac:dyDescent="0.25">
      <c r="A25" s="358"/>
      <c r="B25" s="8" t="s">
        <v>156</v>
      </c>
      <c r="C25" s="614"/>
      <c r="D25" s="614"/>
      <c r="E25" s="614"/>
      <c r="F25" s="615"/>
      <c r="G25" s="615"/>
      <c r="H25" s="615"/>
      <c r="I25" s="615"/>
      <c r="J25" s="615"/>
      <c r="K25" s="615"/>
      <c r="L25" s="615"/>
      <c r="M25" s="615"/>
      <c r="N25" s="615"/>
      <c r="O25" s="615"/>
      <c r="P25" s="615"/>
      <c r="Q25" s="615"/>
      <c r="R25" s="117"/>
      <c r="S25" s="262"/>
      <c r="T25" s="262"/>
      <c r="U25" s="262"/>
      <c r="V25" s="262"/>
      <c r="W25" s="262"/>
      <c r="X25" s="262"/>
      <c r="Y25" s="38"/>
      <c r="Z25" s="38"/>
      <c r="AA25" s="38"/>
      <c r="AB25" s="38"/>
      <c r="AC25" s="38"/>
      <c r="AD25" s="38"/>
      <c r="AE25" s="38"/>
      <c r="AF25" s="38"/>
    </row>
    <row r="26" spans="1:32" x14ac:dyDescent="0.25">
      <c r="A26" s="357"/>
      <c r="B26" s="9"/>
      <c r="G26" s="22"/>
      <c r="H26" s="10"/>
      <c r="I26" s="25"/>
      <c r="J26" s="22"/>
      <c r="K26" s="22"/>
      <c r="L26" s="25"/>
      <c r="M26" s="26"/>
      <c r="N26" s="26"/>
      <c r="O26" s="27"/>
      <c r="R26" s="38"/>
      <c r="S26" s="261"/>
      <c r="T26" s="58"/>
      <c r="U26" s="38"/>
      <c r="V26" s="38"/>
      <c r="W26" s="38"/>
      <c r="X26" s="38"/>
      <c r="Y26" s="38"/>
      <c r="Z26" s="38"/>
      <c r="AA26" s="38"/>
      <c r="AB26" s="38"/>
      <c r="AC26" s="38"/>
      <c r="AD26" s="38"/>
      <c r="AE26" s="38"/>
      <c r="AF26" s="38"/>
    </row>
    <row r="27" spans="1:32" x14ac:dyDescent="0.25">
      <c r="A27" s="357" t="s">
        <v>157</v>
      </c>
      <c r="B27" s="9" t="s">
        <v>385</v>
      </c>
      <c r="R27" s="38"/>
      <c r="S27" s="38"/>
      <c r="T27" s="38"/>
      <c r="U27" s="38"/>
      <c r="V27" s="38"/>
      <c r="W27" s="38"/>
      <c r="X27" s="38"/>
      <c r="Y27" s="38"/>
      <c r="Z27" s="38"/>
      <c r="AA27" s="38"/>
      <c r="AB27" s="38"/>
      <c r="AC27" s="38"/>
      <c r="AD27" s="38"/>
      <c r="AE27" s="38"/>
      <c r="AF27" s="38"/>
    </row>
    <row r="28" spans="1:32" x14ac:dyDescent="0.25">
      <c r="A28" s="357"/>
      <c r="B28" s="9"/>
      <c r="R28" s="38"/>
      <c r="S28" s="38"/>
      <c r="T28" s="38"/>
      <c r="U28" s="38"/>
      <c r="V28" s="38"/>
      <c r="W28" s="38"/>
      <c r="X28" s="38"/>
      <c r="Y28" s="38"/>
      <c r="Z28" s="38"/>
      <c r="AA28" s="38"/>
      <c r="AB28" s="38"/>
      <c r="AC28" s="38"/>
      <c r="AD28" s="38"/>
      <c r="AE28" s="38"/>
      <c r="AF28" s="38"/>
    </row>
    <row r="29" spans="1:32" x14ac:dyDescent="0.25">
      <c r="A29" s="357"/>
      <c r="B29" s="8" t="s">
        <v>386</v>
      </c>
      <c r="R29" s="38"/>
      <c r="S29" s="38"/>
      <c r="T29" s="38"/>
      <c r="U29" s="38" t="s">
        <v>126</v>
      </c>
      <c r="V29" s="38" t="s">
        <v>107</v>
      </c>
      <c r="W29" s="38"/>
      <c r="X29" s="38"/>
      <c r="Y29" s="38"/>
      <c r="Z29" s="38"/>
      <c r="AA29" s="38"/>
      <c r="AB29" s="38"/>
      <c r="AC29" s="38"/>
      <c r="AD29" s="38"/>
      <c r="AE29" s="38"/>
      <c r="AF29" s="38"/>
    </row>
    <row r="30" spans="1:32" x14ac:dyDescent="0.25">
      <c r="A30" s="357"/>
      <c r="B30" s="8" t="s">
        <v>387</v>
      </c>
      <c r="R30" s="38"/>
      <c r="S30" s="38"/>
      <c r="T30" s="38"/>
      <c r="U30" s="38"/>
      <c r="V30" s="38" t="s">
        <v>106</v>
      </c>
      <c r="W30" s="38"/>
      <c r="X30" s="38"/>
      <c r="Y30" s="38"/>
      <c r="Z30" s="38"/>
      <c r="AA30" s="38"/>
      <c r="AB30" s="38"/>
      <c r="AC30" s="38"/>
      <c r="AD30" s="38"/>
      <c r="AE30" s="38"/>
      <c r="AF30" s="38"/>
    </row>
    <row r="31" spans="1:32" ht="14.55" thickBot="1" x14ac:dyDescent="0.3">
      <c r="A31" s="357"/>
      <c r="B31" s="9"/>
      <c r="R31" s="38"/>
      <c r="S31" s="38"/>
      <c r="T31" s="38"/>
      <c r="U31" s="38"/>
      <c r="V31" s="38"/>
      <c r="W31" s="38"/>
      <c r="X31" s="38"/>
      <c r="Y31" s="38"/>
      <c r="Z31" s="38"/>
      <c r="AA31" s="38"/>
      <c r="AB31" s="38"/>
      <c r="AC31" s="38"/>
      <c r="AD31" s="38"/>
      <c r="AE31" s="38"/>
      <c r="AF31" s="38"/>
    </row>
    <row r="32" spans="1:32" ht="15.95" customHeight="1" x14ac:dyDescent="0.25">
      <c r="A32" s="1315" t="s">
        <v>482</v>
      </c>
      <c r="B32" s="1021" t="s">
        <v>163</v>
      </c>
      <c r="C32" s="1022"/>
      <c r="D32" s="1022"/>
      <c r="E32" s="1022"/>
      <c r="F32" s="1022"/>
      <c r="G32" s="1022"/>
      <c r="H32" s="1027" t="s">
        <v>164</v>
      </c>
      <c r="I32" s="1030" t="s">
        <v>165</v>
      </c>
      <c r="J32" s="1316" t="s">
        <v>166</v>
      </c>
      <c r="K32" s="1317"/>
      <c r="L32" s="106"/>
      <c r="M32" s="75"/>
      <c r="N32" s="75"/>
      <c r="O32" s="75"/>
      <c r="P32" s="37"/>
      <c r="Q32" s="37"/>
      <c r="R32" s="253"/>
      <c r="S32" s="81" t="s">
        <v>126</v>
      </c>
      <c r="T32" s="39" t="s">
        <v>106</v>
      </c>
      <c r="U32" s="39"/>
      <c r="V32" s="38"/>
      <c r="W32" s="38"/>
      <c r="X32" s="38"/>
      <c r="Y32" s="38"/>
      <c r="Z32" s="38"/>
      <c r="AA32" s="38"/>
      <c r="AB32" s="38"/>
      <c r="AC32" s="38"/>
      <c r="AD32" s="38"/>
      <c r="AE32" s="38"/>
      <c r="AF32" s="38"/>
    </row>
    <row r="33" spans="1:32" ht="15.95" customHeight="1" x14ac:dyDescent="0.25">
      <c r="A33" s="1315"/>
      <c r="B33" s="1023"/>
      <c r="C33" s="1024"/>
      <c r="D33" s="1024"/>
      <c r="E33" s="1024"/>
      <c r="F33" s="1024"/>
      <c r="G33" s="1024"/>
      <c r="H33" s="1028"/>
      <c r="I33" s="1031"/>
      <c r="J33" s="1318"/>
      <c r="K33" s="1319"/>
      <c r="L33" s="106"/>
      <c r="M33" s="75"/>
      <c r="N33" s="75"/>
      <c r="O33" s="75"/>
      <c r="P33" s="37"/>
      <c r="Q33" s="37"/>
      <c r="R33" s="253"/>
      <c r="S33" s="39"/>
      <c r="T33" s="39" t="s">
        <v>107</v>
      </c>
      <c r="U33" s="47" t="s">
        <v>388</v>
      </c>
      <c r="V33" s="47"/>
      <c r="W33" s="47"/>
      <c r="X33" s="38"/>
      <c r="Y33" s="38"/>
      <c r="Z33" s="38"/>
      <c r="AA33" s="38"/>
      <c r="AB33" s="38"/>
      <c r="AC33" s="38"/>
      <c r="AD33" s="38"/>
      <c r="AE33" s="38"/>
      <c r="AF33" s="38"/>
    </row>
    <row r="34" spans="1:32" ht="14.55" thickBot="1" x14ac:dyDescent="0.3">
      <c r="A34" s="1315"/>
      <c r="B34" s="1025"/>
      <c r="C34" s="1026"/>
      <c r="D34" s="1026"/>
      <c r="E34" s="1026"/>
      <c r="F34" s="1026"/>
      <c r="G34" s="1026"/>
      <c r="H34" s="1029"/>
      <c r="I34" s="1032"/>
      <c r="J34" s="1320"/>
      <c r="K34" s="1321"/>
      <c r="L34" s="107"/>
      <c r="M34" s="76"/>
      <c r="N34" s="76"/>
      <c r="O34" s="76"/>
      <c r="P34" s="77"/>
      <c r="Q34" s="77"/>
      <c r="R34" s="616"/>
      <c r="S34" s="78"/>
      <c r="T34" s="78"/>
      <c r="U34" s="79"/>
      <c r="V34" s="47"/>
      <c r="W34" s="47"/>
      <c r="X34" s="38"/>
      <c r="Y34" s="38"/>
      <c r="Z34" s="38"/>
      <c r="AA34" s="38"/>
      <c r="AB34" s="38"/>
      <c r="AC34" s="38"/>
      <c r="AD34" s="38"/>
      <c r="AE34" s="38"/>
      <c r="AF34" s="38"/>
    </row>
    <row r="35" spans="1:32" ht="15" customHeight="1" thickBot="1" x14ac:dyDescent="0.3">
      <c r="A35" s="1315"/>
      <c r="B35" s="1055" t="s">
        <v>167</v>
      </c>
      <c r="C35" s="1056"/>
      <c r="D35" s="1056"/>
      <c r="E35" s="1056"/>
      <c r="F35" s="1056"/>
      <c r="G35" s="1056"/>
      <c r="H35" s="1061"/>
      <c r="I35" s="860">
        <f>F19</f>
        <v>0</v>
      </c>
      <c r="J35" s="861"/>
      <c r="K35" s="862"/>
      <c r="L35" s="1083" t="s">
        <v>389</v>
      </c>
      <c r="M35" s="1083"/>
      <c r="N35" s="1083"/>
      <c r="O35" s="1083"/>
      <c r="P35" s="1322"/>
      <c r="Q35" s="1027" t="s">
        <v>164</v>
      </c>
      <c r="R35" s="1295" t="str">
        <f>IF(B1=Q2,"Honorar für die Besonderen Leistungen","Honorarangebot für die Besonderen Leistungen")</f>
        <v>Honorarangebot für die Besonderen Leistungen</v>
      </c>
      <c r="S35" s="1296"/>
      <c r="T35" s="1299" t="s">
        <v>169</v>
      </c>
      <c r="U35" s="1302" t="s">
        <v>170</v>
      </c>
      <c r="V35" s="38"/>
      <c r="W35" s="38"/>
      <c r="X35" s="38"/>
      <c r="Y35" s="39" t="s">
        <v>5</v>
      </c>
      <c r="Z35" s="38" t="s">
        <v>390</v>
      </c>
      <c r="AA35" s="47"/>
      <c r="AB35" s="47"/>
      <c r="AC35" s="47"/>
      <c r="AD35" s="38"/>
      <c r="AE35" s="38"/>
      <c r="AF35" s="38"/>
    </row>
    <row r="36" spans="1:32" ht="15" customHeight="1" thickBot="1" x14ac:dyDescent="0.3">
      <c r="A36" s="1315"/>
      <c r="B36" s="1057"/>
      <c r="C36" s="1058"/>
      <c r="D36" s="1058"/>
      <c r="E36" s="1058"/>
      <c r="F36" s="1058"/>
      <c r="G36" s="1058"/>
      <c r="H36" s="1062"/>
      <c r="I36" s="863"/>
      <c r="J36" s="864"/>
      <c r="K36" s="865"/>
      <c r="L36" s="1085"/>
      <c r="M36" s="1085"/>
      <c r="N36" s="1085"/>
      <c r="O36" s="1085"/>
      <c r="P36" s="1323"/>
      <c r="Q36" s="1028"/>
      <c r="R36" s="1297"/>
      <c r="S36" s="1298"/>
      <c r="T36" s="1300"/>
      <c r="U36" s="1302"/>
      <c r="V36" s="38"/>
      <c r="W36" s="38"/>
      <c r="X36" s="38"/>
      <c r="Y36" s="39"/>
      <c r="Z36" s="38"/>
      <c r="AA36" s="38"/>
      <c r="AB36" s="38"/>
      <c r="AC36" s="38"/>
      <c r="AD36" s="38"/>
      <c r="AE36" s="38"/>
      <c r="AF36" s="38"/>
    </row>
    <row r="37" spans="1:32" ht="15.95" customHeight="1" thickBot="1" x14ac:dyDescent="0.3">
      <c r="A37" s="1315"/>
      <c r="B37" s="1059"/>
      <c r="C37" s="1060"/>
      <c r="D37" s="1060"/>
      <c r="E37" s="1060"/>
      <c r="F37" s="1060"/>
      <c r="G37" s="1060"/>
      <c r="H37" s="1063"/>
      <c r="I37" s="866"/>
      <c r="J37" s="867"/>
      <c r="K37" s="868"/>
      <c r="L37" s="1087"/>
      <c r="M37" s="1087"/>
      <c r="N37" s="1087"/>
      <c r="O37" s="1087"/>
      <c r="P37" s="1324"/>
      <c r="Q37" s="1029"/>
      <c r="R37" s="1297"/>
      <c r="S37" s="1298"/>
      <c r="T37" s="1301"/>
      <c r="U37" s="1302"/>
      <c r="V37" s="38"/>
      <c r="W37" s="38"/>
      <c r="X37" s="38"/>
      <c r="Y37" s="39"/>
      <c r="Z37" s="38"/>
      <c r="AA37" s="38"/>
      <c r="AB37" s="38"/>
      <c r="AC37" s="1139" t="s">
        <v>172</v>
      </c>
      <c r="AD37" s="38"/>
      <c r="AE37" s="38"/>
      <c r="AF37" s="38"/>
    </row>
    <row r="38" spans="1:32" ht="14.55" thickBot="1" x14ac:dyDescent="0.3">
      <c r="A38" s="1315"/>
      <c r="B38" s="790" t="s">
        <v>173</v>
      </c>
      <c r="C38" s="791"/>
      <c r="D38" s="791"/>
      <c r="E38" s="791"/>
      <c r="F38" s="791"/>
      <c r="G38" s="792"/>
      <c r="H38" s="118"/>
      <c r="I38" s="824"/>
      <c r="J38" s="825"/>
      <c r="K38" s="1354"/>
      <c r="L38" s="824"/>
      <c r="M38" s="825"/>
      <c r="N38" s="825"/>
      <c r="O38" s="825"/>
      <c r="P38" s="826"/>
      <c r="Q38" s="131"/>
      <c r="R38" s="1355"/>
      <c r="S38" s="1356"/>
      <c r="T38" s="105"/>
      <c r="U38" s="249"/>
      <c r="V38" s="38"/>
      <c r="W38" s="38"/>
      <c r="X38" s="38"/>
      <c r="Y38" s="39"/>
      <c r="Z38" s="38"/>
      <c r="AA38" s="95"/>
      <c r="AB38" s="95"/>
      <c r="AC38" s="1139"/>
      <c r="AD38" s="38"/>
      <c r="AE38" s="38"/>
      <c r="AF38" s="38"/>
    </row>
    <row r="39" spans="1:32" ht="15.95" customHeight="1" thickBot="1" x14ac:dyDescent="0.3">
      <c r="A39" s="1315"/>
      <c r="B39" s="1341" t="s">
        <v>391</v>
      </c>
      <c r="C39" s="1342"/>
      <c r="D39" s="1342"/>
      <c r="E39" s="1342"/>
      <c r="F39" s="1342"/>
      <c r="G39" s="1343"/>
      <c r="H39" s="995" t="s">
        <v>107</v>
      </c>
      <c r="I39" s="873">
        <f>Z54</f>
        <v>0</v>
      </c>
      <c r="J39" s="1123">
        <f>I35*I39</f>
        <v>0</v>
      </c>
      <c r="K39" s="1124"/>
      <c r="L39" s="1344" t="s">
        <v>392</v>
      </c>
      <c r="M39" s="1345"/>
      <c r="N39" s="1345"/>
      <c r="O39" s="1345"/>
      <c r="P39" s="1345"/>
      <c r="Q39" s="797" t="s">
        <v>107</v>
      </c>
      <c r="R39" s="1357"/>
      <c r="S39" s="1358"/>
      <c r="T39" s="1350" t="str">
        <f>IFERROR(IF((VLOOKUP(U39,Überblick!$M$124:$N$132,2))="ja","ja","nein"),"")</f>
        <v/>
      </c>
      <c r="U39" s="1351"/>
      <c r="V39" s="38">
        <f>IF(AND(Q39="ja",R39=""),1,0)</f>
        <v>0</v>
      </c>
      <c r="W39" s="38"/>
      <c r="X39" s="38"/>
      <c r="Y39" s="40">
        <v>1.4999999999999999E-2</v>
      </c>
      <c r="Z39" s="43">
        <f>IF(H39="ja",Y39,0)</f>
        <v>0</v>
      </c>
      <c r="AA39" s="44"/>
      <c r="AB39" s="44">
        <f>IF(Q39="ja",1,0)</f>
        <v>0</v>
      </c>
      <c r="AC39" s="38">
        <f>IF(AND(I39+SUM(V39:V53)&gt;0,U39=""),1,0)</f>
        <v>0</v>
      </c>
      <c r="AD39" s="38"/>
      <c r="AE39" s="38"/>
      <c r="AF39" s="38"/>
    </row>
    <row r="40" spans="1:32" ht="15" customHeight="1" thickBot="1" x14ac:dyDescent="0.3">
      <c r="A40" s="1315"/>
      <c r="B40" s="1325"/>
      <c r="C40" s="899"/>
      <c r="D40" s="899"/>
      <c r="E40" s="899"/>
      <c r="F40" s="899"/>
      <c r="G40" s="1326"/>
      <c r="H40" s="914"/>
      <c r="I40" s="874"/>
      <c r="J40" s="1125"/>
      <c r="K40" s="1126"/>
      <c r="L40" s="1140"/>
      <c r="M40" s="1141"/>
      <c r="N40" s="1141"/>
      <c r="O40" s="1141"/>
      <c r="P40" s="1141"/>
      <c r="Q40" s="798"/>
      <c r="R40" s="1352"/>
      <c r="S40" s="1353"/>
      <c r="T40" s="1350"/>
      <c r="U40" s="1351"/>
      <c r="V40" s="38"/>
      <c r="W40" s="38"/>
      <c r="X40" s="38"/>
      <c r="Y40" s="40"/>
      <c r="Z40" s="43"/>
      <c r="AA40" s="44"/>
      <c r="AB40" s="44">
        <f t="shared" ref="AB40:AB103" si="0">IF(Q40="ja",1,0)</f>
        <v>0</v>
      </c>
      <c r="AC40" s="38"/>
      <c r="AD40" s="38"/>
      <c r="AE40" s="38"/>
      <c r="AF40" s="38"/>
    </row>
    <row r="41" spans="1:32" ht="15" customHeight="1" thickBot="1" x14ac:dyDescent="0.3">
      <c r="A41" s="1315"/>
      <c r="B41" s="1327"/>
      <c r="C41" s="1328"/>
      <c r="D41" s="1328"/>
      <c r="E41" s="1328"/>
      <c r="F41" s="1328"/>
      <c r="G41" s="1329"/>
      <c r="H41" s="996"/>
      <c r="I41" s="874"/>
      <c r="J41" s="1125"/>
      <c r="K41" s="1126"/>
      <c r="L41" s="1140"/>
      <c r="M41" s="1141"/>
      <c r="N41" s="1141"/>
      <c r="O41" s="1141"/>
      <c r="P41" s="1141"/>
      <c r="Q41" s="798"/>
      <c r="R41" s="1352"/>
      <c r="S41" s="1353"/>
      <c r="T41" s="1350"/>
      <c r="U41" s="1351"/>
      <c r="V41" s="38"/>
      <c r="W41" s="38"/>
      <c r="X41" s="38"/>
      <c r="Y41" s="40"/>
      <c r="Z41" s="43"/>
      <c r="AA41" s="44"/>
      <c r="AB41" s="44">
        <f t="shared" si="0"/>
        <v>0</v>
      </c>
      <c r="AC41" s="38"/>
      <c r="AD41" s="38"/>
      <c r="AE41" s="38"/>
      <c r="AF41" s="38"/>
    </row>
    <row r="42" spans="1:32" ht="15" customHeight="1" thickBot="1" x14ac:dyDescent="0.3">
      <c r="A42" s="1315"/>
      <c r="B42" s="1325" t="s">
        <v>393</v>
      </c>
      <c r="C42" s="899"/>
      <c r="D42" s="899"/>
      <c r="E42" s="899"/>
      <c r="F42" s="899"/>
      <c r="G42" s="1326"/>
      <c r="H42" s="914" t="s">
        <v>107</v>
      </c>
      <c r="I42" s="874"/>
      <c r="J42" s="1125"/>
      <c r="K42" s="1126"/>
      <c r="L42" s="1140"/>
      <c r="M42" s="1141"/>
      <c r="N42" s="1141"/>
      <c r="O42" s="1141"/>
      <c r="P42" s="1141"/>
      <c r="Q42" s="798"/>
      <c r="R42" s="1352"/>
      <c r="S42" s="1353"/>
      <c r="T42" s="1350"/>
      <c r="U42" s="1351"/>
      <c r="V42" s="38"/>
      <c r="W42" s="38"/>
      <c r="X42" s="38"/>
      <c r="Y42" s="40">
        <v>3.0000000000000001E-3</v>
      </c>
      <c r="Z42" s="43">
        <f>IF(H42="ja",Y42,0)</f>
        <v>0</v>
      </c>
      <c r="AA42" s="44"/>
      <c r="AB42" s="44">
        <f t="shared" si="0"/>
        <v>0</v>
      </c>
      <c r="AC42" s="38"/>
      <c r="AD42" s="38"/>
      <c r="AE42" s="38"/>
      <c r="AF42" s="38"/>
    </row>
    <row r="43" spans="1:32" ht="15" customHeight="1" thickBot="1" x14ac:dyDescent="0.3">
      <c r="A43" s="1315"/>
      <c r="B43" s="1325"/>
      <c r="C43" s="899"/>
      <c r="D43" s="899"/>
      <c r="E43" s="899"/>
      <c r="F43" s="899"/>
      <c r="G43" s="1326"/>
      <c r="H43" s="914"/>
      <c r="I43" s="874"/>
      <c r="J43" s="1125"/>
      <c r="K43" s="1126"/>
      <c r="L43" s="1140"/>
      <c r="M43" s="1141"/>
      <c r="N43" s="1141"/>
      <c r="O43" s="1141"/>
      <c r="P43" s="1141"/>
      <c r="Q43" s="798"/>
      <c r="R43" s="1352"/>
      <c r="S43" s="1353"/>
      <c r="T43" s="1350"/>
      <c r="U43" s="1351"/>
      <c r="V43" s="38"/>
      <c r="W43" s="38"/>
      <c r="X43" s="38"/>
      <c r="Y43" s="40"/>
      <c r="Z43" s="43"/>
      <c r="AA43" s="44"/>
      <c r="AB43" s="44">
        <f t="shared" si="0"/>
        <v>0</v>
      </c>
      <c r="AC43" s="38"/>
      <c r="AD43" s="38"/>
      <c r="AE43" s="38"/>
      <c r="AF43" s="38"/>
    </row>
    <row r="44" spans="1:32" ht="15.95" customHeight="1" thickBot="1" x14ac:dyDescent="0.3">
      <c r="A44" s="1315"/>
      <c r="B44" s="1327"/>
      <c r="C44" s="1328"/>
      <c r="D44" s="1328"/>
      <c r="E44" s="1328"/>
      <c r="F44" s="1328"/>
      <c r="G44" s="1329"/>
      <c r="H44" s="996"/>
      <c r="I44" s="874"/>
      <c r="J44" s="1125"/>
      <c r="K44" s="1126"/>
      <c r="L44" s="1140" t="s">
        <v>394</v>
      </c>
      <c r="M44" s="1141"/>
      <c r="N44" s="1141"/>
      <c r="O44" s="1141"/>
      <c r="P44" s="1141"/>
      <c r="Q44" s="798" t="s">
        <v>107</v>
      </c>
      <c r="R44" s="1352"/>
      <c r="S44" s="1353"/>
      <c r="T44" s="1350"/>
      <c r="U44" s="1351"/>
      <c r="V44" s="38">
        <f>IF(AND(Q44="ja",R44=""),1,0)</f>
        <v>0</v>
      </c>
      <c r="W44" s="38"/>
      <c r="X44" s="38"/>
      <c r="Y44" s="40"/>
      <c r="Z44" s="43"/>
      <c r="AA44" s="44"/>
      <c r="AB44" s="44">
        <f t="shared" si="0"/>
        <v>0</v>
      </c>
      <c r="AC44" s="38"/>
      <c r="AD44" s="38"/>
      <c r="AE44" s="38"/>
      <c r="AF44" s="38"/>
    </row>
    <row r="45" spans="1:32" ht="15" customHeight="1" thickBot="1" x14ac:dyDescent="0.3">
      <c r="A45" s="1315"/>
      <c r="B45" s="1325" t="s">
        <v>184</v>
      </c>
      <c r="C45" s="899"/>
      <c r="D45" s="899"/>
      <c r="E45" s="899"/>
      <c r="F45" s="899"/>
      <c r="G45" s="1326"/>
      <c r="H45" s="1015" t="s">
        <v>107</v>
      </c>
      <c r="I45" s="874"/>
      <c r="J45" s="1125"/>
      <c r="K45" s="1126"/>
      <c r="L45" s="1140"/>
      <c r="M45" s="1141"/>
      <c r="N45" s="1141"/>
      <c r="O45" s="1141"/>
      <c r="P45" s="1141"/>
      <c r="Q45" s="798"/>
      <c r="R45" s="1352"/>
      <c r="S45" s="1353"/>
      <c r="T45" s="1350"/>
      <c r="U45" s="1351"/>
      <c r="V45" s="38"/>
      <c r="W45" s="38"/>
      <c r="X45" s="38"/>
      <c r="Y45" s="40">
        <v>2E-3</v>
      </c>
      <c r="Z45" s="43">
        <f>IF(H45="ja",Y45,0)</f>
        <v>0</v>
      </c>
      <c r="AA45" s="44"/>
      <c r="AB45" s="44">
        <f t="shared" si="0"/>
        <v>0</v>
      </c>
      <c r="AC45" s="38"/>
      <c r="AD45" s="38"/>
      <c r="AE45" s="38"/>
      <c r="AF45" s="38"/>
    </row>
    <row r="46" spans="1:32" ht="15" customHeight="1" thickBot="1" x14ac:dyDescent="0.3">
      <c r="A46" s="1315"/>
      <c r="B46" s="1325"/>
      <c r="C46" s="899"/>
      <c r="D46" s="899"/>
      <c r="E46" s="899"/>
      <c r="F46" s="899"/>
      <c r="G46" s="1326"/>
      <c r="H46" s="1015"/>
      <c r="I46" s="874"/>
      <c r="J46" s="1125"/>
      <c r="K46" s="1126"/>
      <c r="L46" s="1140"/>
      <c r="M46" s="1141"/>
      <c r="N46" s="1141"/>
      <c r="O46" s="1141"/>
      <c r="P46" s="1141"/>
      <c r="Q46" s="798"/>
      <c r="R46" s="1352"/>
      <c r="S46" s="1353"/>
      <c r="T46" s="1350"/>
      <c r="U46" s="1351"/>
      <c r="V46" s="38"/>
      <c r="W46" s="38"/>
      <c r="X46" s="38"/>
      <c r="Y46" s="40"/>
      <c r="Z46" s="43"/>
      <c r="AA46" s="44"/>
      <c r="AB46" s="44">
        <f t="shared" si="0"/>
        <v>0</v>
      </c>
      <c r="AC46" s="38"/>
      <c r="AD46" s="38"/>
      <c r="AE46" s="38"/>
      <c r="AF46" s="38"/>
    </row>
    <row r="47" spans="1:32" ht="15.95" customHeight="1" thickBot="1" x14ac:dyDescent="0.3">
      <c r="A47" s="1315"/>
      <c r="B47" s="1325"/>
      <c r="C47" s="899"/>
      <c r="D47" s="899"/>
      <c r="E47" s="899"/>
      <c r="F47" s="899"/>
      <c r="G47" s="1326"/>
      <c r="H47" s="1015"/>
      <c r="I47" s="874"/>
      <c r="J47" s="1125"/>
      <c r="K47" s="1126"/>
      <c r="L47" s="1140" t="s">
        <v>395</v>
      </c>
      <c r="M47" s="1141"/>
      <c r="N47" s="1141"/>
      <c r="O47" s="1141"/>
      <c r="P47" s="1141"/>
      <c r="Q47" s="798" t="s">
        <v>107</v>
      </c>
      <c r="R47" s="1352"/>
      <c r="S47" s="1353"/>
      <c r="T47" s="1350"/>
      <c r="U47" s="1351"/>
      <c r="V47" s="38">
        <f>IF(AND(Q47="ja",R47=""),1,0)</f>
        <v>0</v>
      </c>
      <c r="W47" s="38"/>
      <c r="X47" s="38"/>
      <c r="Y47" s="40"/>
      <c r="Z47" s="43"/>
      <c r="AA47" s="44"/>
      <c r="AB47" s="44">
        <f t="shared" si="0"/>
        <v>0</v>
      </c>
      <c r="AC47" s="38"/>
      <c r="AD47" s="38"/>
      <c r="AE47" s="38"/>
      <c r="AF47" s="38"/>
    </row>
    <row r="48" spans="1:32" ht="15" customHeight="1" thickBot="1" x14ac:dyDescent="0.3">
      <c r="A48" s="1315"/>
      <c r="B48" s="1325"/>
      <c r="C48" s="899"/>
      <c r="D48" s="899"/>
      <c r="E48" s="899"/>
      <c r="F48" s="899"/>
      <c r="G48" s="1326"/>
      <c r="H48" s="1015"/>
      <c r="I48" s="874"/>
      <c r="J48" s="1125"/>
      <c r="K48" s="1126"/>
      <c r="L48" s="1140"/>
      <c r="M48" s="1141"/>
      <c r="N48" s="1141"/>
      <c r="O48" s="1141"/>
      <c r="P48" s="1141"/>
      <c r="Q48" s="798"/>
      <c r="R48" s="1352"/>
      <c r="S48" s="1353"/>
      <c r="T48" s="1350"/>
      <c r="U48" s="1351"/>
      <c r="V48" s="38"/>
      <c r="W48" s="38"/>
      <c r="X48" s="38"/>
      <c r="Y48" s="40"/>
      <c r="Z48" s="43"/>
      <c r="AA48" s="44"/>
      <c r="AB48" s="44">
        <f t="shared" si="0"/>
        <v>0</v>
      </c>
      <c r="AC48" s="38"/>
      <c r="AD48" s="38"/>
      <c r="AE48" s="38"/>
      <c r="AF48" s="38"/>
    </row>
    <row r="49" spans="1:37" ht="15" customHeight="1" thickBot="1" x14ac:dyDescent="0.3">
      <c r="A49" s="1315"/>
      <c r="B49" s="1325"/>
      <c r="C49" s="899"/>
      <c r="D49" s="899"/>
      <c r="E49" s="899"/>
      <c r="F49" s="899"/>
      <c r="G49" s="1326"/>
      <c r="H49" s="1015"/>
      <c r="I49" s="874"/>
      <c r="J49" s="1125"/>
      <c r="K49" s="1126"/>
      <c r="L49" s="1348" t="s">
        <v>396</v>
      </c>
      <c r="M49" s="1349"/>
      <c r="N49" s="1349"/>
      <c r="O49" s="1349"/>
      <c r="P49" s="1349"/>
      <c r="Q49" s="244" t="s">
        <v>107</v>
      </c>
      <c r="R49" s="1352"/>
      <c r="S49" s="1353"/>
      <c r="T49" s="1350"/>
      <c r="U49" s="1351"/>
      <c r="V49" s="38">
        <f>IF(AND(Q49="ja",R49=""),1,0)</f>
        <v>0</v>
      </c>
      <c r="W49" s="38"/>
      <c r="X49" s="38"/>
      <c r="Y49" s="40"/>
      <c r="Z49" s="43"/>
      <c r="AA49" s="44"/>
      <c r="AB49" s="44">
        <f t="shared" si="0"/>
        <v>0</v>
      </c>
      <c r="AC49" s="38"/>
      <c r="AD49" s="38"/>
      <c r="AE49" s="38"/>
      <c r="AF49" s="38"/>
    </row>
    <row r="50" spans="1:37" ht="15" customHeight="1" thickBot="1" x14ac:dyDescent="0.3">
      <c r="A50" s="1315"/>
      <c r="B50" s="1325"/>
      <c r="C50" s="899"/>
      <c r="D50" s="899"/>
      <c r="E50" s="899"/>
      <c r="F50" s="899"/>
      <c r="G50" s="1326"/>
      <c r="H50" s="1015"/>
      <c r="I50" s="874"/>
      <c r="J50" s="1125"/>
      <c r="K50" s="1126"/>
      <c r="L50" s="1348" t="s">
        <v>397</v>
      </c>
      <c r="M50" s="1349"/>
      <c r="N50" s="1349"/>
      <c r="O50" s="1349"/>
      <c r="P50" s="1349"/>
      <c r="Q50" s="244" t="s">
        <v>107</v>
      </c>
      <c r="R50" s="1352"/>
      <c r="S50" s="1353"/>
      <c r="T50" s="1350"/>
      <c r="U50" s="1351"/>
      <c r="V50" s="38">
        <f>IF(AND(Q50="ja",R50=""),1,0)</f>
        <v>0</v>
      </c>
      <c r="W50" s="38"/>
      <c r="X50" s="38"/>
      <c r="Y50" s="40"/>
      <c r="Z50" s="43"/>
      <c r="AA50" s="44"/>
      <c r="AB50" s="44">
        <f t="shared" si="0"/>
        <v>0</v>
      </c>
      <c r="AC50" s="38"/>
      <c r="AD50" s="38"/>
      <c r="AE50" s="38"/>
      <c r="AF50" s="38"/>
    </row>
    <row r="51" spans="1:37" ht="15.95" customHeight="1" thickBot="1" x14ac:dyDescent="0.3">
      <c r="A51" s="1315"/>
      <c r="B51" s="1325"/>
      <c r="C51" s="899"/>
      <c r="D51" s="899"/>
      <c r="E51" s="899"/>
      <c r="F51" s="899"/>
      <c r="G51" s="1326"/>
      <c r="H51" s="1015"/>
      <c r="I51" s="874"/>
      <c r="J51" s="1125"/>
      <c r="K51" s="1126"/>
      <c r="L51" s="1140" t="s">
        <v>398</v>
      </c>
      <c r="M51" s="1141"/>
      <c r="N51" s="1141"/>
      <c r="O51" s="1141"/>
      <c r="P51" s="1141"/>
      <c r="Q51" s="798" t="s">
        <v>107</v>
      </c>
      <c r="R51" s="1352"/>
      <c r="S51" s="1353"/>
      <c r="T51" s="1350"/>
      <c r="U51" s="1351"/>
      <c r="V51" s="38">
        <f>IF(AND(Q51="ja",R51=""),1,0)</f>
        <v>0</v>
      </c>
      <c r="W51" s="38"/>
      <c r="X51" s="38"/>
      <c r="Y51" s="40"/>
      <c r="Z51" s="43"/>
      <c r="AA51" s="44"/>
      <c r="AB51" s="44">
        <f t="shared" si="0"/>
        <v>0</v>
      </c>
      <c r="AC51" s="38"/>
      <c r="AD51" s="38"/>
      <c r="AE51" s="38"/>
      <c r="AF51" s="38"/>
    </row>
    <row r="52" spans="1:37" ht="15" customHeight="1" thickBot="1" x14ac:dyDescent="0.3">
      <c r="A52" s="1315"/>
      <c r="B52" s="1325"/>
      <c r="C52" s="899"/>
      <c r="D52" s="899"/>
      <c r="E52" s="899"/>
      <c r="F52" s="899"/>
      <c r="G52" s="1326"/>
      <c r="H52" s="1015"/>
      <c r="I52" s="874"/>
      <c r="J52" s="1125"/>
      <c r="K52" s="1126"/>
      <c r="L52" s="1140"/>
      <c r="M52" s="1141"/>
      <c r="N52" s="1141"/>
      <c r="O52" s="1141"/>
      <c r="P52" s="1141"/>
      <c r="Q52" s="798"/>
      <c r="R52" s="1352"/>
      <c r="S52" s="1353"/>
      <c r="T52" s="1350"/>
      <c r="U52" s="1351"/>
      <c r="V52" s="38"/>
      <c r="W52" s="38"/>
      <c r="X52" s="38"/>
      <c r="Y52" s="40"/>
      <c r="Z52" s="43"/>
      <c r="AA52" s="44"/>
      <c r="AB52" s="44">
        <f t="shared" si="0"/>
        <v>0</v>
      </c>
      <c r="AC52" s="38"/>
      <c r="AD52" s="38"/>
      <c r="AE52" s="38"/>
      <c r="AF52" s="38"/>
    </row>
    <row r="53" spans="1:37" ht="15.95" customHeight="1" thickBot="1" x14ac:dyDescent="0.3">
      <c r="A53" s="1315"/>
      <c r="B53" s="1330"/>
      <c r="C53" s="1331"/>
      <c r="D53" s="1331"/>
      <c r="E53" s="1331"/>
      <c r="F53" s="1331"/>
      <c r="G53" s="1332"/>
      <c r="H53" s="1016"/>
      <c r="I53" s="875"/>
      <c r="J53" s="1127"/>
      <c r="K53" s="1128"/>
      <c r="L53" s="1346" t="s">
        <v>399</v>
      </c>
      <c r="M53" s="1347"/>
      <c r="N53" s="1347"/>
      <c r="O53" s="1347"/>
      <c r="P53" s="1347"/>
      <c r="Q53" s="245" t="s">
        <v>107</v>
      </c>
      <c r="R53" s="1359"/>
      <c r="S53" s="1360"/>
      <c r="T53" s="1350"/>
      <c r="U53" s="1351"/>
      <c r="V53" s="38">
        <f>IF(AND(Q53="ja",R53=""),1,0)</f>
        <v>0</v>
      </c>
      <c r="W53" s="38"/>
      <c r="X53" s="38"/>
      <c r="Y53" s="40"/>
      <c r="Z53" s="43"/>
      <c r="AA53" s="44"/>
      <c r="AB53" s="44">
        <f t="shared" si="0"/>
        <v>0</v>
      </c>
      <c r="AC53" s="38"/>
      <c r="AD53" s="38"/>
      <c r="AE53" s="38"/>
      <c r="AF53" s="38"/>
    </row>
    <row r="54" spans="1:37" ht="14.55" thickBot="1" x14ac:dyDescent="0.3">
      <c r="A54" s="1315"/>
      <c r="B54" s="790" t="s">
        <v>185</v>
      </c>
      <c r="C54" s="791"/>
      <c r="D54" s="791"/>
      <c r="E54" s="791"/>
      <c r="F54" s="791"/>
      <c r="G54" s="792"/>
      <c r="H54" s="251"/>
      <c r="I54" s="793"/>
      <c r="J54" s="794"/>
      <c r="K54" s="794"/>
      <c r="L54" s="1361">
        <f>SUM(R39:S53)</f>
        <v>0</v>
      </c>
      <c r="M54" s="1362"/>
      <c r="N54" s="1362"/>
      <c r="O54" s="1362"/>
      <c r="P54" s="1362"/>
      <c r="Q54" s="252"/>
      <c r="R54" s="1363"/>
      <c r="S54" s="1364"/>
      <c r="T54" s="376"/>
      <c r="U54" s="249"/>
      <c r="V54" s="38"/>
      <c r="W54" s="38"/>
      <c r="X54" s="38"/>
      <c r="Y54" s="40"/>
      <c r="Z54" s="98">
        <f>SUM(Z39:Z45)</f>
        <v>0</v>
      </c>
      <c r="AA54" s="43"/>
      <c r="AB54" s="44">
        <f t="shared" si="0"/>
        <v>0</v>
      </c>
      <c r="AC54" s="38"/>
      <c r="AD54" s="38"/>
      <c r="AE54" s="38"/>
      <c r="AF54" s="38"/>
    </row>
    <row r="55" spans="1:37" ht="15.95" customHeight="1" thickBot="1" x14ac:dyDescent="0.3">
      <c r="A55" s="1315"/>
      <c r="B55" s="1341" t="s">
        <v>400</v>
      </c>
      <c r="C55" s="1342"/>
      <c r="D55" s="1342"/>
      <c r="E55" s="1342"/>
      <c r="F55" s="1342"/>
      <c r="G55" s="1342"/>
      <c r="H55" s="995" t="s">
        <v>107</v>
      </c>
      <c r="I55" s="873">
        <f>Z78</f>
        <v>0</v>
      </c>
      <c r="J55" s="1123">
        <f>I35*I55</f>
        <v>0</v>
      </c>
      <c r="K55" s="1124"/>
      <c r="L55" s="842"/>
      <c r="M55" s="843"/>
      <c r="N55" s="843"/>
      <c r="O55" s="843"/>
      <c r="P55" s="843"/>
      <c r="Q55" s="1333" t="s">
        <v>107</v>
      </c>
      <c r="R55" s="1352"/>
      <c r="S55" s="1353"/>
      <c r="T55" s="1350" t="str">
        <f>IFERROR(IF((VLOOKUP(U55,Überblick!$M$124:$N$132,2))="ja","ja","nein"),"")</f>
        <v/>
      </c>
      <c r="U55" s="1351"/>
      <c r="V55" s="38">
        <f>IF(AND(Q55="ja",R55=""),1,0)</f>
        <v>0</v>
      </c>
      <c r="W55" s="38"/>
      <c r="X55" s="38"/>
      <c r="Y55" s="40">
        <v>8.0000000000000002E-3</v>
      </c>
      <c r="Z55" s="43">
        <f>IF(H55="ja",Y55,0)</f>
        <v>0</v>
      </c>
      <c r="AA55" s="44"/>
      <c r="AB55" s="44">
        <f t="shared" si="0"/>
        <v>0</v>
      </c>
      <c r="AC55" s="38">
        <f>IF(AND(I55+SUM(V55:V77)&gt;0,U55=""),1,0)</f>
        <v>0</v>
      </c>
      <c r="AD55" s="38"/>
      <c r="AE55" s="38"/>
      <c r="AF55" s="38"/>
    </row>
    <row r="56" spans="1:37" ht="15" customHeight="1" thickBot="1" x14ac:dyDescent="0.3">
      <c r="A56" s="1315"/>
      <c r="B56" s="1327"/>
      <c r="C56" s="1328"/>
      <c r="D56" s="1328"/>
      <c r="E56" s="1328"/>
      <c r="F56" s="1328"/>
      <c r="G56" s="1328"/>
      <c r="H56" s="996"/>
      <c r="I56" s="874"/>
      <c r="J56" s="1125"/>
      <c r="K56" s="1126"/>
      <c r="L56" s="807"/>
      <c r="M56" s="808"/>
      <c r="N56" s="808"/>
      <c r="O56" s="808"/>
      <c r="P56" s="808"/>
      <c r="Q56" s="1333"/>
      <c r="R56" s="1352"/>
      <c r="S56" s="1353"/>
      <c r="T56" s="1350"/>
      <c r="U56" s="1351"/>
      <c r="V56" s="38"/>
      <c r="W56" s="38"/>
      <c r="X56" s="38"/>
      <c r="Y56" s="40"/>
      <c r="Z56" s="43"/>
      <c r="AA56" s="44"/>
      <c r="AB56" s="44">
        <f t="shared" si="0"/>
        <v>0</v>
      </c>
      <c r="AC56" s="38"/>
      <c r="AD56" s="38"/>
      <c r="AE56" s="38"/>
      <c r="AF56" s="38"/>
    </row>
    <row r="57" spans="1:37" s="37" customFormat="1" ht="15" customHeight="1" thickBot="1" x14ac:dyDescent="0.3">
      <c r="A57" s="1315"/>
      <c r="B57" s="1334" t="s">
        <v>401</v>
      </c>
      <c r="C57" s="1335"/>
      <c r="D57" s="1335"/>
      <c r="E57" s="1335"/>
      <c r="F57" s="1335"/>
      <c r="G57" s="1336"/>
      <c r="H57" s="1392" t="s">
        <v>107</v>
      </c>
      <c r="I57" s="874"/>
      <c r="J57" s="1125"/>
      <c r="K57" s="1126"/>
      <c r="L57" s="807"/>
      <c r="M57" s="808"/>
      <c r="N57" s="808"/>
      <c r="O57" s="808"/>
      <c r="P57" s="808"/>
      <c r="Q57" s="1333"/>
      <c r="R57" s="1352"/>
      <c r="S57" s="1353"/>
      <c r="T57" s="1350"/>
      <c r="U57" s="1351"/>
      <c r="V57" s="253"/>
      <c r="W57" s="253"/>
      <c r="X57" s="253"/>
      <c r="Y57" s="254">
        <v>5.2499999999999998E-2</v>
      </c>
      <c r="Z57" s="43">
        <f>IF(H57="ja",Y57,0)</f>
        <v>0</v>
      </c>
      <c r="AA57" s="44"/>
      <c r="AB57" s="44">
        <f t="shared" si="0"/>
        <v>0</v>
      </c>
      <c r="AC57" s="38"/>
      <c r="AD57" s="253"/>
      <c r="AE57" s="253"/>
      <c r="AF57" s="253"/>
      <c r="AG57" s="255"/>
      <c r="AH57" s="255"/>
      <c r="AI57" s="255"/>
      <c r="AJ57" s="255"/>
      <c r="AK57" s="255"/>
    </row>
    <row r="58" spans="1:37" s="37" customFormat="1" ht="15" customHeight="1" thickBot="1" x14ac:dyDescent="0.3">
      <c r="A58" s="1315"/>
      <c r="B58" s="1325"/>
      <c r="C58" s="899"/>
      <c r="D58" s="899"/>
      <c r="E58" s="899"/>
      <c r="F58" s="899"/>
      <c r="G58" s="1326"/>
      <c r="H58" s="1393"/>
      <c r="I58" s="874"/>
      <c r="J58" s="1125"/>
      <c r="K58" s="1126"/>
      <c r="L58" s="807"/>
      <c r="M58" s="808"/>
      <c r="N58" s="808"/>
      <c r="O58" s="808"/>
      <c r="P58" s="808"/>
      <c r="Q58" s="1333" t="s">
        <v>107</v>
      </c>
      <c r="R58" s="1352"/>
      <c r="S58" s="1353"/>
      <c r="T58" s="1350"/>
      <c r="U58" s="1351"/>
      <c r="V58" s="38">
        <f>IF(AND(Q58="ja",R58=""),1,0)</f>
        <v>0</v>
      </c>
      <c r="W58" s="253"/>
      <c r="X58" s="253"/>
      <c r="Y58" s="254"/>
      <c r="Z58" s="130"/>
      <c r="AA58" s="44"/>
      <c r="AB58" s="44">
        <f t="shared" si="0"/>
        <v>0</v>
      </c>
      <c r="AC58" s="38"/>
      <c r="AD58" s="253"/>
      <c r="AE58" s="253"/>
      <c r="AF58" s="253"/>
      <c r="AG58" s="255"/>
      <c r="AH58" s="255"/>
      <c r="AI58" s="255"/>
      <c r="AJ58" s="255"/>
      <c r="AK58" s="255"/>
    </row>
    <row r="59" spans="1:37" s="37" customFormat="1" ht="15" customHeight="1" thickBot="1" x14ac:dyDescent="0.3">
      <c r="A59" s="1315"/>
      <c r="B59" s="1325"/>
      <c r="C59" s="899"/>
      <c r="D59" s="899"/>
      <c r="E59" s="899"/>
      <c r="F59" s="899"/>
      <c r="G59" s="1326"/>
      <c r="H59" s="1393"/>
      <c r="I59" s="874"/>
      <c r="J59" s="1125"/>
      <c r="K59" s="1126"/>
      <c r="L59" s="807"/>
      <c r="M59" s="808"/>
      <c r="N59" s="808"/>
      <c r="O59" s="808"/>
      <c r="P59" s="808"/>
      <c r="Q59" s="1333"/>
      <c r="R59" s="1352"/>
      <c r="S59" s="1353"/>
      <c r="T59" s="1350"/>
      <c r="U59" s="1351"/>
      <c r="V59" s="253"/>
      <c r="W59" s="253"/>
      <c r="X59" s="253"/>
      <c r="Y59" s="254"/>
      <c r="Z59" s="130"/>
      <c r="AA59" s="44"/>
      <c r="AB59" s="44">
        <f t="shared" si="0"/>
        <v>0</v>
      </c>
      <c r="AC59" s="38"/>
      <c r="AD59" s="253"/>
      <c r="AE59" s="253"/>
      <c r="AF59" s="253"/>
      <c r="AG59" s="255"/>
      <c r="AH59" s="255"/>
      <c r="AI59" s="255"/>
      <c r="AJ59" s="255"/>
      <c r="AK59" s="255"/>
    </row>
    <row r="60" spans="1:37" s="37" customFormat="1" ht="15" customHeight="1" thickBot="1" x14ac:dyDescent="0.3">
      <c r="A60" s="1315"/>
      <c r="B60" s="1325"/>
      <c r="C60" s="899"/>
      <c r="D60" s="899"/>
      <c r="E60" s="899"/>
      <c r="F60" s="899"/>
      <c r="G60" s="1326"/>
      <c r="H60" s="1393"/>
      <c r="I60" s="874"/>
      <c r="J60" s="1125"/>
      <c r="K60" s="1126"/>
      <c r="L60" s="807"/>
      <c r="M60" s="808"/>
      <c r="N60" s="808"/>
      <c r="O60" s="808"/>
      <c r="P60" s="808"/>
      <c r="Q60" s="1333"/>
      <c r="R60" s="1352"/>
      <c r="S60" s="1353"/>
      <c r="T60" s="1350"/>
      <c r="U60" s="1351"/>
      <c r="V60" s="253"/>
      <c r="W60" s="253"/>
      <c r="X60" s="253"/>
      <c r="Y60" s="254"/>
      <c r="Z60" s="130"/>
      <c r="AA60" s="44"/>
      <c r="AB60" s="44">
        <f t="shared" si="0"/>
        <v>0</v>
      </c>
      <c r="AC60" s="38"/>
      <c r="AD60" s="253"/>
      <c r="AE60" s="253"/>
      <c r="AF60" s="253"/>
      <c r="AG60" s="255"/>
      <c r="AH60" s="255"/>
      <c r="AI60" s="255"/>
      <c r="AJ60" s="255"/>
      <c r="AK60" s="255"/>
    </row>
    <row r="61" spans="1:37" ht="15" customHeight="1" thickBot="1" x14ac:dyDescent="0.3">
      <c r="A61" s="1315"/>
      <c r="B61" s="1325"/>
      <c r="C61" s="899"/>
      <c r="D61" s="899"/>
      <c r="E61" s="899"/>
      <c r="F61" s="899"/>
      <c r="G61" s="1326"/>
      <c r="H61" s="1393"/>
      <c r="I61" s="874"/>
      <c r="J61" s="1125"/>
      <c r="K61" s="1126"/>
      <c r="L61" s="807"/>
      <c r="M61" s="808"/>
      <c r="N61" s="808"/>
      <c r="O61" s="808"/>
      <c r="P61" s="808"/>
      <c r="Q61" s="1333" t="s">
        <v>107</v>
      </c>
      <c r="R61" s="1352"/>
      <c r="S61" s="1353"/>
      <c r="T61" s="1350"/>
      <c r="U61" s="1351"/>
      <c r="V61" s="38">
        <f>IF(AND(Q61="ja",R61=""),1,0)</f>
        <v>0</v>
      </c>
      <c r="W61" s="38"/>
      <c r="X61" s="38"/>
      <c r="Y61" s="254"/>
      <c r="Z61" s="43"/>
      <c r="AA61" s="44"/>
      <c r="AB61" s="44">
        <f t="shared" si="0"/>
        <v>0</v>
      </c>
      <c r="AC61" s="38"/>
      <c r="AD61" s="38"/>
      <c r="AE61" s="38"/>
      <c r="AF61" s="38"/>
    </row>
    <row r="62" spans="1:37" ht="15" customHeight="1" thickBot="1" x14ac:dyDescent="0.3">
      <c r="A62" s="1315"/>
      <c r="B62" s="1325"/>
      <c r="C62" s="899"/>
      <c r="D62" s="899"/>
      <c r="E62" s="899"/>
      <c r="F62" s="899"/>
      <c r="G62" s="1326"/>
      <c r="H62" s="1393"/>
      <c r="I62" s="874"/>
      <c r="J62" s="1125"/>
      <c r="K62" s="1126"/>
      <c r="L62" s="807"/>
      <c r="M62" s="808"/>
      <c r="N62" s="808"/>
      <c r="O62" s="808"/>
      <c r="P62" s="808"/>
      <c r="Q62" s="1333"/>
      <c r="R62" s="1352"/>
      <c r="S62" s="1353"/>
      <c r="T62" s="1350"/>
      <c r="U62" s="1351"/>
      <c r="V62" s="38"/>
      <c r="W62" s="38"/>
      <c r="X62" s="38"/>
      <c r="Y62" s="254"/>
      <c r="Z62" s="43"/>
      <c r="AA62" s="44"/>
      <c r="AB62" s="44">
        <f t="shared" si="0"/>
        <v>0</v>
      </c>
      <c r="AC62" s="38"/>
      <c r="AD62" s="38"/>
      <c r="AE62" s="38"/>
      <c r="AF62" s="38"/>
    </row>
    <row r="63" spans="1:37" ht="15" customHeight="1" thickBot="1" x14ac:dyDescent="0.3">
      <c r="A63" s="1315"/>
      <c r="B63" s="1325"/>
      <c r="C63" s="899"/>
      <c r="D63" s="899"/>
      <c r="E63" s="899"/>
      <c r="F63" s="899"/>
      <c r="G63" s="1326"/>
      <c r="H63" s="1393"/>
      <c r="I63" s="874"/>
      <c r="J63" s="1125"/>
      <c r="K63" s="1126"/>
      <c r="L63" s="807"/>
      <c r="M63" s="808"/>
      <c r="N63" s="808"/>
      <c r="O63" s="808"/>
      <c r="P63" s="808"/>
      <c r="Q63" s="1333"/>
      <c r="R63" s="1352"/>
      <c r="S63" s="1353"/>
      <c r="T63" s="1350"/>
      <c r="U63" s="1351"/>
      <c r="V63" s="38"/>
      <c r="W63" s="38"/>
      <c r="X63" s="38"/>
      <c r="Y63" s="254"/>
      <c r="Z63" s="43"/>
      <c r="AA63" s="44"/>
      <c r="AB63" s="44">
        <f t="shared" si="0"/>
        <v>0</v>
      </c>
      <c r="AC63" s="38"/>
      <c r="AD63" s="38"/>
      <c r="AE63" s="38"/>
      <c r="AF63" s="38"/>
    </row>
    <row r="64" spans="1:37" ht="15" customHeight="1" thickBot="1" x14ac:dyDescent="0.3">
      <c r="A64" s="1315"/>
      <c r="B64" s="1327"/>
      <c r="C64" s="1328"/>
      <c r="D64" s="1328"/>
      <c r="E64" s="1328"/>
      <c r="F64" s="1328"/>
      <c r="G64" s="1329"/>
      <c r="H64" s="1394"/>
      <c r="I64" s="874"/>
      <c r="J64" s="1125"/>
      <c r="K64" s="1126"/>
      <c r="L64" s="807"/>
      <c r="M64" s="808"/>
      <c r="N64" s="808"/>
      <c r="O64" s="808"/>
      <c r="P64" s="808"/>
      <c r="Q64" s="1333" t="s">
        <v>107</v>
      </c>
      <c r="R64" s="1352"/>
      <c r="S64" s="1353"/>
      <c r="T64" s="1350"/>
      <c r="U64" s="1351"/>
      <c r="V64" s="38">
        <f>IF(AND(Q64="ja",R64=""),1,0)</f>
        <v>0</v>
      </c>
      <c r="W64" s="38"/>
      <c r="X64" s="38"/>
      <c r="Y64" s="254"/>
      <c r="Z64" s="43"/>
      <c r="AA64" s="44"/>
      <c r="AB64" s="44">
        <f t="shared" si="0"/>
        <v>0</v>
      </c>
      <c r="AC64" s="38"/>
      <c r="AD64" s="38"/>
      <c r="AE64" s="38"/>
      <c r="AF64" s="38"/>
    </row>
    <row r="65" spans="1:32" ht="15" customHeight="1" thickBot="1" x14ac:dyDescent="0.3">
      <c r="A65" s="1315"/>
      <c r="B65" s="1334" t="s">
        <v>402</v>
      </c>
      <c r="C65" s="1335"/>
      <c r="D65" s="1335"/>
      <c r="E65" s="1335"/>
      <c r="F65" s="1335"/>
      <c r="G65" s="1336"/>
      <c r="H65" s="913" t="s">
        <v>107</v>
      </c>
      <c r="I65" s="874"/>
      <c r="J65" s="1125"/>
      <c r="K65" s="1126"/>
      <c r="L65" s="807"/>
      <c r="M65" s="808"/>
      <c r="N65" s="808"/>
      <c r="O65" s="808"/>
      <c r="P65" s="808"/>
      <c r="Q65" s="1333"/>
      <c r="R65" s="1352"/>
      <c r="S65" s="1353"/>
      <c r="T65" s="1350"/>
      <c r="U65" s="1351"/>
      <c r="V65" s="253"/>
      <c r="W65" s="38"/>
      <c r="X65" s="38"/>
      <c r="Y65" s="40">
        <v>0.01</v>
      </c>
      <c r="Z65" s="43">
        <f>IF(H65="ja",Y65,0)</f>
        <v>0</v>
      </c>
      <c r="AA65" s="44"/>
      <c r="AB65" s="44">
        <f t="shared" si="0"/>
        <v>0</v>
      </c>
      <c r="AC65" s="38"/>
      <c r="AD65" s="38"/>
      <c r="AE65" s="38"/>
      <c r="AF65" s="38"/>
    </row>
    <row r="66" spans="1:32" ht="15" customHeight="1" thickBot="1" x14ac:dyDescent="0.3">
      <c r="A66" s="1315"/>
      <c r="B66" s="1327"/>
      <c r="C66" s="1328"/>
      <c r="D66" s="1328"/>
      <c r="E66" s="1328"/>
      <c r="F66" s="1328"/>
      <c r="G66" s="1329"/>
      <c r="H66" s="996"/>
      <c r="I66" s="874"/>
      <c r="J66" s="1125"/>
      <c r="K66" s="1126"/>
      <c r="L66" s="807"/>
      <c r="M66" s="808"/>
      <c r="N66" s="808"/>
      <c r="O66" s="808"/>
      <c r="P66" s="808"/>
      <c r="Q66" s="1333"/>
      <c r="R66" s="1352"/>
      <c r="S66" s="1353"/>
      <c r="T66" s="1350"/>
      <c r="U66" s="1351"/>
      <c r="V66" s="253"/>
      <c r="W66" s="38"/>
      <c r="X66" s="38"/>
      <c r="Y66" s="40"/>
      <c r="Z66" s="43"/>
      <c r="AA66" s="44"/>
      <c r="AB66" s="44">
        <f t="shared" si="0"/>
        <v>0</v>
      </c>
      <c r="AC66" s="38"/>
      <c r="AD66" s="38"/>
      <c r="AE66" s="38"/>
      <c r="AF66" s="38"/>
    </row>
    <row r="67" spans="1:32" ht="15" customHeight="1" thickBot="1" x14ac:dyDescent="0.3">
      <c r="A67" s="1315"/>
      <c r="B67" s="1334" t="s">
        <v>403</v>
      </c>
      <c r="C67" s="1335"/>
      <c r="D67" s="1335"/>
      <c r="E67" s="1335"/>
      <c r="F67" s="1335"/>
      <c r="G67" s="1336"/>
      <c r="H67" s="913" t="s">
        <v>107</v>
      </c>
      <c r="I67" s="874"/>
      <c r="J67" s="1125"/>
      <c r="K67" s="1126"/>
      <c r="L67" s="807"/>
      <c r="M67" s="808"/>
      <c r="N67" s="808"/>
      <c r="O67" s="808"/>
      <c r="P67" s="808"/>
      <c r="Q67" s="1333" t="s">
        <v>107</v>
      </c>
      <c r="R67" s="1352"/>
      <c r="S67" s="1353"/>
      <c r="T67" s="1350"/>
      <c r="U67" s="1351"/>
      <c r="V67" s="38">
        <f>IF(AND(Q67="ja",R67=""),1,0)</f>
        <v>0</v>
      </c>
      <c r="W67" s="38"/>
      <c r="X67" s="38"/>
      <c r="Y67" s="40">
        <v>8.0000000000000002E-3</v>
      </c>
      <c r="Z67" s="43">
        <f>IF(H67="ja",Y67,0)</f>
        <v>0</v>
      </c>
      <c r="AA67" s="44"/>
      <c r="AB67" s="44">
        <f t="shared" si="0"/>
        <v>0</v>
      </c>
      <c r="AC67" s="38"/>
      <c r="AD67" s="38"/>
      <c r="AE67" s="38"/>
      <c r="AF67" s="38"/>
    </row>
    <row r="68" spans="1:32" ht="15" customHeight="1" thickBot="1" x14ac:dyDescent="0.3">
      <c r="A68" s="1315"/>
      <c r="B68" s="1325"/>
      <c r="C68" s="899"/>
      <c r="D68" s="899"/>
      <c r="E68" s="899"/>
      <c r="F68" s="899"/>
      <c r="G68" s="1326"/>
      <c r="H68" s="914"/>
      <c r="I68" s="874"/>
      <c r="J68" s="1125"/>
      <c r="K68" s="1126"/>
      <c r="L68" s="807"/>
      <c r="M68" s="808"/>
      <c r="N68" s="808"/>
      <c r="O68" s="808"/>
      <c r="P68" s="808"/>
      <c r="Q68" s="1333"/>
      <c r="R68" s="1352"/>
      <c r="S68" s="1353"/>
      <c r="T68" s="1350"/>
      <c r="U68" s="1351"/>
      <c r="V68" s="38"/>
      <c r="W68" s="38"/>
      <c r="X68" s="38"/>
      <c r="Y68" s="40"/>
      <c r="Z68" s="43"/>
      <c r="AA68" s="44"/>
      <c r="AB68" s="44">
        <f t="shared" si="0"/>
        <v>0</v>
      </c>
      <c r="AC68" s="38"/>
      <c r="AD68" s="38"/>
      <c r="AE68" s="38"/>
      <c r="AF68" s="38"/>
    </row>
    <row r="69" spans="1:32" ht="15" customHeight="1" thickBot="1" x14ac:dyDescent="0.3">
      <c r="A69" s="1315"/>
      <c r="B69" s="1325"/>
      <c r="C69" s="899"/>
      <c r="D69" s="899"/>
      <c r="E69" s="899"/>
      <c r="F69" s="899"/>
      <c r="G69" s="1326"/>
      <c r="H69" s="914"/>
      <c r="I69" s="874"/>
      <c r="J69" s="1125"/>
      <c r="K69" s="1126"/>
      <c r="L69" s="807"/>
      <c r="M69" s="808"/>
      <c r="N69" s="808"/>
      <c r="O69" s="808"/>
      <c r="P69" s="808"/>
      <c r="Q69" s="1333"/>
      <c r="R69" s="1352"/>
      <c r="S69" s="1353"/>
      <c r="T69" s="1350"/>
      <c r="U69" s="1351"/>
      <c r="V69" s="38"/>
      <c r="W69" s="38"/>
      <c r="X69" s="38"/>
      <c r="Y69" s="40"/>
      <c r="Z69" s="43"/>
      <c r="AA69" s="44"/>
      <c r="AB69" s="44">
        <f t="shared" si="0"/>
        <v>0</v>
      </c>
      <c r="AC69" s="38"/>
      <c r="AD69" s="38"/>
      <c r="AE69" s="38"/>
      <c r="AF69" s="38"/>
    </row>
    <row r="70" spans="1:32" ht="15" customHeight="1" thickBot="1" x14ac:dyDescent="0.3">
      <c r="A70" s="1315"/>
      <c r="B70" s="1327"/>
      <c r="C70" s="1328"/>
      <c r="D70" s="1328"/>
      <c r="E70" s="1328"/>
      <c r="F70" s="1328"/>
      <c r="G70" s="1329"/>
      <c r="H70" s="996"/>
      <c r="I70" s="874"/>
      <c r="J70" s="1125"/>
      <c r="K70" s="1126"/>
      <c r="L70" s="807"/>
      <c r="M70" s="808"/>
      <c r="N70" s="808"/>
      <c r="O70" s="808"/>
      <c r="P70" s="808"/>
      <c r="Q70" s="1333" t="s">
        <v>107</v>
      </c>
      <c r="R70" s="1352"/>
      <c r="S70" s="1353"/>
      <c r="T70" s="1350"/>
      <c r="U70" s="1351"/>
      <c r="V70" s="38">
        <f>IF(AND(Q70="ja",R70=""),1,0)</f>
        <v>0</v>
      </c>
      <c r="W70" s="38"/>
      <c r="X70" s="38"/>
      <c r="Y70" s="40"/>
      <c r="Z70" s="43"/>
      <c r="AA70" s="44"/>
      <c r="AB70" s="44">
        <f t="shared" si="0"/>
        <v>0</v>
      </c>
      <c r="AC70" s="38"/>
      <c r="AD70" s="38"/>
      <c r="AE70" s="38"/>
      <c r="AF70" s="38"/>
    </row>
    <row r="71" spans="1:32" ht="15" customHeight="1" thickBot="1" x14ac:dyDescent="0.3">
      <c r="A71" s="1315"/>
      <c r="B71" s="1334" t="s">
        <v>404</v>
      </c>
      <c r="C71" s="1335"/>
      <c r="D71" s="1335"/>
      <c r="E71" s="1335"/>
      <c r="F71" s="1335"/>
      <c r="G71" s="1336"/>
      <c r="H71" s="913" t="s">
        <v>107</v>
      </c>
      <c r="I71" s="874"/>
      <c r="J71" s="1125"/>
      <c r="K71" s="1126"/>
      <c r="L71" s="807"/>
      <c r="M71" s="808"/>
      <c r="N71" s="808"/>
      <c r="O71" s="808"/>
      <c r="P71" s="808"/>
      <c r="Q71" s="1333"/>
      <c r="R71" s="1352"/>
      <c r="S71" s="1353"/>
      <c r="T71" s="1350"/>
      <c r="U71" s="1351"/>
      <c r="V71" s="253"/>
      <c r="W71" s="38"/>
      <c r="X71" s="38"/>
      <c r="Y71" s="40">
        <v>2E-3</v>
      </c>
      <c r="Z71" s="43">
        <f>IF(H71="ja",Y71,0)</f>
        <v>0</v>
      </c>
      <c r="AA71" s="44"/>
      <c r="AB71" s="44">
        <f t="shared" si="0"/>
        <v>0</v>
      </c>
      <c r="AC71" s="38"/>
      <c r="AD71" s="38"/>
      <c r="AE71" s="38"/>
      <c r="AF71" s="38"/>
    </row>
    <row r="72" spans="1:32" ht="15" customHeight="1" thickBot="1" x14ac:dyDescent="0.3">
      <c r="A72" s="1315"/>
      <c r="B72" s="1325"/>
      <c r="C72" s="899"/>
      <c r="D72" s="899"/>
      <c r="E72" s="899"/>
      <c r="F72" s="899"/>
      <c r="G72" s="1326"/>
      <c r="H72" s="914"/>
      <c r="I72" s="874"/>
      <c r="J72" s="1125"/>
      <c r="K72" s="1126"/>
      <c r="L72" s="807"/>
      <c r="M72" s="808"/>
      <c r="N72" s="808"/>
      <c r="O72" s="808"/>
      <c r="P72" s="808"/>
      <c r="Q72" s="1333"/>
      <c r="R72" s="1352"/>
      <c r="S72" s="1353"/>
      <c r="T72" s="1350"/>
      <c r="U72" s="1351"/>
      <c r="V72" s="253"/>
      <c r="W72" s="38"/>
      <c r="X72" s="38"/>
      <c r="Y72" s="40"/>
      <c r="Z72" s="43"/>
      <c r="AA72" s="44"/>
      <c r="AB72" s="44">
        <f t="shared" si="0"/>
        <v>0</v>
      </c>
      <c r="AC72" s="38"/>
      <c r="AD72" s="38"/>
      <c r="AE72" s="38"/>
      <c r="AF72" s="38"/>
    </row>
    <row r="73" spans="1:32" ht="15" customHeight="1" thickBot="1" x14ac:dyDescent="0.3">
      <c r="A73" s="1315"/>
      <c r="B73" s="1327"/>
      <c r="C73" s="1328"/>
      <c r="D73" s="1328"/>
      <c r="E73" s="1328"/>
      <c r="F73" s="1328"/>
      <c r="G73" s="1329"/>
      <c r="H73" s="996"/>
      <c r="I73" s="874"/>
      <c r="J73" s="1125"/>
      <c r="K73" s="1126"/>
      <c r="L73" s="807"/>
      <c r="M73" s="808"/>
      <c r="N73" s="808"/>
      <c r="O73" s="808"/>
      <c r="P73" s="808"/>
      <c r="Q73" s="1333" t="s">
        <v>107</v>
      </c>
      <c r="R73" s="1352"/>
      <c r="S73" s="1353"/>
      <c r="T73" s="1350"/>
      <c r="U73" s="1351"/>
      <c r="V73" s="38">
        <f>IF(AND(Q73="ja",R73=""),1,0)</f>
        <v>0</v>
      </c>
      <c r="W73" s="38"/>
      <c r="X73" s="38"/>
      <c r="Y73" s="40"/>
      <c r="Z73" s="43"/>
      <c r="AA73" s="44"/>
      <c r="AB73" s="44">
        <f t="shared" si="0"/>
        <v>0</v>
      </c>
      <c r="AC73" s="38"/>
      <c r="AD73" s="38"/>
      <c r="AE73" s="38"/>
      <c r="AF73" s="38"/>
    </row>
    <row r="74" spans="1:32" ht="15" customHeight="1" thickBot="1" x14ac:dyDescent="0.3">
      <c r="A74" s="1315"/>
      <c r="B74" s="1334" t="s">
        <v>405</v>
      </c>
      <c r="C74" s="1335"/>
      <c r="D74" s="1335"/>
      <c r="E74" s="1335"/>
      <c r="F74" s="1335"/>
      <c r="G74" s="1336"/>
      <c r="H74" s="913" t="s">
        <v>107</v>
      </c>
      <c r="I74" s="874"/>
      <c r="J74" s="1125"/>
      <c r="K74" s="1126"/>
      <c r="L74" s="807"/>
      <c r="M74" s="808"/>
      <c r="N74" s="808"/>
      <c r="O74" s="808"/>
      <c r="P74" s="808"/>
      <c r="Q74" s="1333"/>
      <c r="R74" s="1352"/>
      <c r="S74" s="1353"/>
      <c r="T74" s="1350"/>
      <c r="U74" s="1351"/>
      <c r="V74" s="38"/>
      <c r="W74" s="38"/>
      <c r="X74" s="38"/>
      <c r="Y74" s="40">
        <v>7.0000000000000001E-3</v>
      </c>
      <c r="Z74" s="43">
        <f>IF(H74="ja",Y74,0)</f>
        <v>0</v>
      </c>
      <c r="AA74" s="44"/>
      <c r="AB74" s="44">
        <f t="shared" si="0"/>
        <v>0</v>
      </c>
      <c r="AC74" s="38"/>
      <c r="AD74" s="38"/>
      <c r="AE74" s="38"/>
      <c r="AF74" s="38"/>
    </row>
    <row r="75" spans="1:32" ht="15" customHeight="1" thickBot="1" x14ac:dyDescent="0.3">
      <c r="A75" s="1315"/>
      <c r="B75" s="1327"/>
      <c r="C75" s="1328"/>
      <c r="D75" s="1328"/>
      <c r="E75" s="1328"/>
      <c r="F75" s="1328"/>
      <c r="G75" s="1329"/>
      <c r="H75" s="996"/>
      <c r="I75" s="874"/>
      <c r="J75" s="1125"/>
      <c r="K75" s="1126"/>
      <c r="L75" s="807"/>
      <c r="M75" s="808"/>
      <c r="N75" s="808"/>
      <c r="O75" s="808"/>
      <c r="P75" s="808"/>
      <c r="Q75" s="1333"/>
      <c r="R75" s="1352"/>
      <c r="S75" s="1353"/>
      <c r="T75" s="1350"/>
      <c r="U75" s="1351"/>
      <c r="V75" s="38"/>
      <c r="W75" s="38"/>
      <c r="X75" s="38"/>
      <c r="Y75" s="40"/>
      <c r="Z75" s="43"/>
      <c r="AA75" s="44"/>
      <c r="AB75" s="44">
        <f t="shared" si="0"/>
        <v>0</v>
      </c>
      <c r="AC75" s="38"/>
      <c r="AD75" s="38"/>
      <c r="AE75" s="38"/>
      <c r="AF75" s="38"/>
    </row>
    <row r="76" spans="1:32" ht="15" customHeight="1" thickBot="1" x14ac:dyDescent="0.3">
      <c r="A76" s="1315"/>
      <c r="B76" s="1334" t="s">
        <v>184</v>
      </c>
      <c r="C76" s="1335"/>
      <c r="D76" s="1335"/>
      <c r="E76" s="1335"/>
      <c r="F76" s="1335"/>
      <c r="G76" s="1336"/>
      <c r="H76" s="913" t="s">
        <v>107</v>
      </c>
      <c r="I76" s="874"/>
      <c r="J76" s="1125"/>
      <c r="K76" s="1126"/>
      <c r="L76" s="1337"/>
      <c r="M76" s="1338"/>
      <c r="N76" s="1338"/>
      <c r="O76" s="1338"/>
      <c r="P76" s="1338"/>
      <c r="Q76" s="1333" t="s">
        <v>107</v>
      </c>
      <c r="R76" s="1352"/>
      <c r="S76" s="1353"/>
      <c r="T76" s="1350"/>
      <c r="U76" s="1351"/>
      <c r="V76" s="38">
        <f>IF(AND(Q76="ja",R76=""),1,0)</f>
        <v>0</v>
      </c>
      <c r="W76" s="38"/>
      <c r="X76" s="38"/>
      <c r="Y76" s="40">
        <v>2.5000000000000001E-3</v>
      </c>
      <c r="Z76" s="43">
        <f>IF(H76="ja",Y76,0)</f>
        <v>0</v>
      </c>
      <c r="AA76" s="44"/>
      <c r="AB76" s="44">
        <f t="shared" si="0"/>
        <v>0</v>
      </c>
      <c r="AC76" s="38"/>
      <c r="AD76" s="38"/>
      <c r="AE76" s="38"/>
      <c r="AF76" s="38"/>
    </row>
    <row r="77" spans="1:32" ht="15" customHeight="1" thickBot="1" x14ac:dyDescent="0.3">
      <c r="A77" s="1315"/>
      <c r="B77" s="1327"/>
      <c r="C77" s="1328"/>
      <c r="D77" s="1328"/>
      <c r="E77" s="1328"/>
      <c r="F77" s="1328"/>
      <c r="G77" s="1329"/>
      <c r="H77" s="996"/>
      <c r="I77" s="875"/>
      <c r="J77" s="1127"/>
      <c r="K77" s="1128"/>
      <c r="L77" s="1339"/>
      <c r="M77" s="1340"/>
      <c r="N77" s="1340"/>
      <c r="O77" s="1340"/>
      <c r="P77" s="1340"/>
      <c r="Q77" s="1333"/>
      <c r="R77" s="1365"/>
      <c r="S77" s="1366"/>
      <c r="T77" s="1350"/>
      <c r="U77" s="1351"/>
      <c r="V77" s="38"/>
      <c r="W77" s="38"/>
      <c r="X77" s="38"/>
      <c r="Y77" s="40"/>
      <c r="Z77" s="43"/>
      <c r="AA77" s="44"/>
      <c r="AB77" s="44">
        <f t="shared" si="0"/>
        <v>0</v>
      </c>
      <c r="AC77" s="38"/>
      <c r="AD77" s="38"/>
      <c r="AE77" s="38"/>
      <c r="AF77" s="38"/>
    </row>
    <row r="78" spans="1:32" ht="15.95" customHeight="1" thickBot="1" x14ac:dyDescent="0.3">
      <c r="A78" s="1315"/>
      <c r="B78" s="1055" t="s">
        <v>167</v>
      </c>
      <c r="C78" s="1056"/>
      <c r="D78" s="1056"/>
      <c r="E78" s="1056"/>
      <c r="F78" s="1056"/>
      <c r="G78" s="1056"/>
      <c r="H78" s="1061"/>
      <c r="I78" s="1055">
        <f>IF(J19="Kostenschätzung liegt noch nicht vor",I35,J19)</f>
        <v>0</v>
      </c>
      <c r="J78" s="1056"/>
      <c r="K78" s="1131"/>
      <c r="L78" s="1377">
        <f>SUM(R55:S77)</f>
        <v>0</v>
      </c>
      <c r="M78" s="1378"/>
      <c r="N78" s="1378"/>
      <c r="O78" s="1378"/>
      <c r="P78" s="1378"/>
      <c r="Q78" s="1383"/>
      <c r="R78" s="1386"/>
      <c r="S78" s="1387"/>
      <c r="T78" s="1367"/>
      <c r="U78" s="1370"/>
      <c r="V78" s="38"/>
      <c r="W78" s="38"/>
      <c r="X78" s="38"/>
      <c r="Y78" s="40"/>
      <c r="Z78" s="98">
        <f>SUM(Z55:Z76)</f>
        <v>0</v>
      </c>
      <c r="AA78" s="43"/>
      <c r="AB78" s="44">
        <f t="shared" si="0"/>
        <v>0</v>
      </c>
      <c r="AC78" s="38"/>
      <c r="AD78" s="38"/>
      <c r="AE78" s="38"/>
      <c r="AF78" s="38"/>
    </row>
    <row r="79" spans="1:32" ht="14.55" thickBot="1" x14ac:dyDescent="0.3">
      <c r="A79" s="1315"/>
      <c r="B79" s="1057"/>
      <c r="C79" s="1058"/>
      <c r="D79" s="1058"/>
      <c r="E79" s="1058"/>
      <c r="F79" s="1058"/>
      <c r="G79" s="1058"/>
      <c r="H79" s="1062"/>
      <c r="I79" s="1057"/>
      <c r="J79" s="1058"/>
      <c r="K79" s="1132"/>
      <c r="L79" s="1379"/>
      <c r="M79" s="1380"/>
      <c r="N79" s="1380"/>
      <c r="O79" s="1380"/>
      <c r="P79" s="1380"/>
      <c r="Q79" s="1384"/>
      <c r="R79" s="1388"/>
      <c r="S79" s="1389"/>
      <c r="T79" s="1368"/>
      <c r="U79" s="1370"/>
      <c r="V79" s="38"/>
      <c r="W79" s="38"/>
      <c r="X79" s="38"/>
      <c r="Y79" s="38"/>
      <c r="Z79" s="38"/>
      <c r="AA79" s="44"/>
      <c r="AB79" s="44">
        <f t="shared" si="0"/>
        <v>0</v>
      </c>
      <c r="AC79" s="38"/>
      <c r="AD79" s="38"/>
      <c r="AE79" s="38"/>
      <c r="AF79" s="38"/>
    </row>
    <row r="80" spans="1:32" ht="14.55" thickBot="1" x14ac:dyDescent="0.3">
      <c r="A80" s="1315"/>
      <c r="B80" s="1059"/>
      <c r="C80" s="1060"/>
      <c r="D80" s="1060"/>
      <c r="E80" s="1060"/>
      <c r="F80" s="1060"/>
      <c r="G80" s="1060"/>
      <c r="H80" s="1063"/>
      <c r="I80" s="1059"/>
      <c r="J80" s="1060"/>
      <c r="K80" s="1133"/>
      <c r="L80" s="1381"/>
      <c r="M80" s="1382"/>
      <c r="N80" s="1382"/>
      <c r="O80" s="1382"/>
      <c r="P80" s="1382"/>
      <c r="Q80" s="1385"/>
      <c r="R80" s="1390"/>
      <c r="S80" s="1391"/>
      <c r="T80" s="1369"/>
      <c r="U80" s="1370"/>
      <c r="V80" s="38"/>
      <c r="W80" s="38"/>
      <c r="X80" s="38"/>
      <c r="Y80" s="38"/>
      <c r="Z80" s="38"/>
      <c r="AA80" s="44"/>
      <c r="AB80" s="44">
        <f t="shared" si="0"/>
        <v>0</v>
      </c>
      <c r="AC80" s="38"/>
      <c r="AD80" s="38"/>
      <c r="AE80" s="38"/>
      <c r="AF80" s="38"/>
    </row>
    <row r="81" spans="1:32" ht="14.55" thickBot="1" x14ac:dyDescent="0.3">
      <c r="A81" s="1315"/>
      <c r="B81" s="1371" t="s">
        <v>406</v>
      </c>
      <c r="C81" s="1372"/>
      <c r="D81" s="1372"/>
      <c r="E81" s="1372"/>
      <c r="F81" s="1372"/>
      <c r="G81" s="1372"/>
      <c r="H81" s="251"/>
      <c r="I81" s="1373"/>
      <c r="J81" s="1374"/>
      <c r="K81" s="1375"/>
      <c r="L81" s="1376"/>
      <c r="M81" s="1374"/>
      <c r="N81" s="1374"/>
      <c r="O81" s="1374"/>
      <c r="P81" s="1374"/>
      <c r="Q81" s="252"/>
      <c r="R81" s="1363"/>
      <c r="S81" s="1364"/>
      <c r="T81" s="249"/>
      <c r="U81" s="249"/>
      <c r="V81" s="38"/>
      <c r="W81" s="38"/>
      <c r="X81" s="38"/>
      <c r="Y81" s="38"/>
      <c r="Z81" s="38"/>
      <c r="AA81" s="44"/>
      <c r="AB81" s="44">
        <f t="shared" si="0"/>
        <v>0</v>
      </c>
      <c r="AC81" s="38"/>
      <c r="AD81" s="38"/>
      <c r="AE81" s="38"/>
      <c r="AF81" s="38"/>
    </row>
    <row r="82" spans="1:32" ht="15" customHeight="1" thickBot="1" x14ac:dyDescent="0.3">
      <c r="A82" s="1315"/>
      <c r="B82" s="1341" t="s">
        <v>407</v>
      </c>
      <c r="C82" s="1342"/>
      <c r="D82" s="1342"/>
      <c r="E82" s="1342"/>
      <c r="F82" s="1342"/>
      <c r="G82" s="1343"/>
      <c r="H82" s="995" t="s">
        <v>107</v>
      </c>
      <c r="I82" s="873">
        <f>Z115</f>
        <v>0</v>
      </c>
      <c r="J82" s="1123">
        <f>I78*I82</f>
        <v>0</v>
      </c>
      <c r="K82" s="1124"/>
      <c r="L82" s="842" t="s">
        <v>408</v>
      </c>
      <c r="M82" s="843"/>
      <c r="N82" s="843"/>
      <c r="O82" s="843"/>
      <c r="P82" s="843"/>
      <c r="Q82" s="1333" t="s">
        <v>107</v>
      </c>
      <c r="R82" s="1352"/>
      <c r="S82" s="1353"/>
      <c r="T82" s="1395" t="str">
        <f>IFERROR(IF((VLOOKUP(U82,Überblick!$M$124:$N$132,2))="ja","ja","nein"),"")</f>
        <v/>
      </c>
      <c r="U82" s="1351"/>
      <c r="V82" s="38">
        <f>IF(AND(Q82="ja",R82=""),1,0)</f>
        <v>0</v>
      </c>
      <c r="W82" s="38"/>
      <c r="X82" s="38"/>
      <c r="Y82" s="40">
        <v>5.5E-2</v>
      </c>
      <c r="Z82" s="43">
        <f>IF(H82="ja",Y82,0)</f>
        <v>0</v>
      </c>
      <c r="AA82" s="44"/>
      <c r="AB82" s="44">
        <f t="shared" si="0"/>
        <v>0</v>
      </c>
      <c r="AC82" s="38">
        <f>IF(AND(I82+SUM(V82:V114)&gt;0,U82=""),1,0)</f>
        <v>0</v>
      </c>
      <c r="AD82" s="38"/>
      <c r="AE82" s="38"/>
      <c r="AF82" s="38"/>
    </row>
    <row r="83" spans="1:32" ht="15" customHeight="1" thickBot="1" x14ac:dyDescent="0.3">
      <c r="A83" s="1315"/>
      <c r="B83" s="1325"/>
      <c r="C83" s="899"/>
      <c r="D83" s="899"/>
      <c r="E83" s="899"/>
      <c r="F83" s="899"/>
      <c r="G83" s="1326"/>
      <c r="H83" s="914"/>
      <c r="I83" s="874"/>
      <c r="J83" s="1125"/>
      <c r="K83" s="1126"/>
      <c r="L83" s="807"/>
      <c r="M83" s="808"/>
      <c r="N83" s="808"/>
      <c r="O83" s="808"/>
      <c r="P83" s="808"/>
      <c r="Q83" s="1333"/>
      <c r="R83" s="1352"/>
      <c r="S83" s="1353"/>
      <c r="T83" s="1396"/>
      <c r="U83" s="1351"/>
      <c r="V83" s="253"/>
      <c r="W83" s="38"/>
      <c r="X83" s="38"/>
      <c r="Y83" s="40"/>
      <c r="Z83" s="43"/>
      <c r="AA83" s="44"/>
      <c r="AB83" s="44">
        <f t="shared" si="0"/>
        <v>0</v>
      </c>
      <c r="AC83" s="38"/>
      <c r="AD83" s="38"/>
      <c r="AE83" s="38"/>
      <c r="AF83" s="38"/>
    </row>
    <row r="84" spans="1:32" ht="15" customHeight="1" thickBot="1" x14ac:dyDescent="0.3">
      <c r="A84" s="1315"/>
      <c r="B84" s="1325"/>
      <c r="C84" s="899"/>
      <c r="D84" s="899"/>
      <c r="E84" s="899"/>
      <c r="F84" s="899"/>
      <c r="G84" s="1326"/>
      <c r="H84" s="914"/>
      <c r="I84" s="874"/>
      <c r="J84" s="1125"/>
      <c r="K84" s="1126"/>
      <c r="L84" s="807"/>
      <c r="M84" s="808"/>
      <c r="N84" s="808"/>
      <c r="O84" s="808"/>
      <c r="P84" s="808"/>
      <c r="Q84" s="1333"/>
      <c r="R84" s="1352"/>
      <c r="S84" s="1353"/>
      <c r="T84" s="1396"/>
      <c r="U84" s="1351"/>
      <c r="V84" s="253"/>
      <c r="W84" s="38"/>
      <c r="X84" s="38"/>
      <c r="Y84" s="40"/>
      <c r="Z84" s="43"/>
      <c r="AA84" s="44"/>
      <c r="AB84" s="44">
        <f t="shared" si="0"/>
        <v>0</v>
      </c>
      <c r="AC84" s="38"/>
      <c r="AD84" s="38"/>
      <c r="AE84" s="38"/>
      <c r="AF84" s="38"/>
    </row>
    <row r="85" spans="1:32" ht="15" customHeight="1" thickBot="1" x14ac:dyDescent="0.3">
      <c r="A85" s="1315"/>
      <c r="B85" s="1325"/>
      <c r="C85" s="899"/>
      <c r="D85" s="899"/>
      <c r="E85" s="899"/>
      <c r="F85" s="899"/>
      <c r="G85" s="1326"/>
      <c r="H85" s="914"/>
      <c r="I85" s="874"/>
      <c r="J85" s="1125"/>
      <c r="K85" s="1126"/>
      <c r="L85" s="807" t="s">
        <v>409</v>
      </c>
      <c r="M85" s="808"/>
      <c r="N85" s="808"/>
      <c r="O85" s="808"/>
      <c r="P85" s="808"/>
      <c r="Q85" s="1333" t="s">
        <v>107</v>
      </c>
      <c r="R85" s="1352"/>
      <c r="S85" s="1353"/>
      <c r="T85" s="1396"/>
      <c r="U85" s="1351"/>
      <c r="V85" s="38">
        <f>IF(AND(Q85="ja",R85=""),1,0)</f>
        <v>0</v>
      </c>
      <c r="W85" s="38"/>
      <c r="X85" s="38"/>
      <c r="Y85" s="40"/>
      <c r="Z85" s="43"/>
      <c r="AA85" s="44"/>
      <c r="AB85" s="44">
        <f t="shared" si="0"/>
        <v>0</v>
      </c>
      <c r="AC85" s="38"/>
      <c r="AD85" s="38"/>
      <c r="AE85" s="38"/>
      <c r="AF85" s="38"/>
    </row>
    <row r="86" spans="1:32" ht="15" customHeight="1" thickBot="1" x14ac:dyDescent="0.3">
      <c r="A86" s="1315"/>
      <c r="B86" s="1327"/>
      <c r="C86" s="1328"/>
      <c r="D86" s="1328"/>
      <c r="E86" s="1328"/>
      <c r="F86" s="1328"/>
      <c r="G86" s="1329"/>
      <c r="H86" s="996"/>
      <c r="I86" s="874"/>
      <c r="J86" s="1125"/>
      <c r="K86" s="1126"/>
      <c r="L86" s="807"/>
      <c r="M86" s="808"/>
      <c r="N86" s="808"/>
      <c r="O86" s="808"/>
      <c r="P86" s="808"/>
      <c r="Q86" s="1333"/>
      <c r="R86" s="1352"/>
      <c r="S86" s="1353"/>
      <c r="T86" s="1396"/>
      <c r="U86" s="1351"/>
      <c r="V86" s="38"/>
      <c r="W86" s="38"/>
      <c r="X86" s="38"/>
      <c r="Y86" s="40"/>
      <c r="Z86" s="43"/>
      <c r="AA86" s="44"/>
      <c r="AB86" s="44">
        <f t="shared" si="0"/>
        <v>0</v>
      </c>
      <c r="AC86" s="38"/>
      <c r="AD86" s="38"/>
      <c r="AE86" s="38"/>
      <c r="AF86" s="38"/>
    </row>
    <row r="87" spans="1:32" ht="15" customHeight="1" thickBot="1" x14ac:dyDescent="0.3">
      <c r="A87" s="1315"/>
      <c r="B87" s="775" t="s">
        <v>410</v>
      </c>
      <c r="C87" s="776"/>
      <c r="D87" s="776"/>
      <c r="E87" s="776"/>
      <c r="F87" s="776"/>
      <c r="G87" s="777"/>
      <c r="H87" s="233" t="s">
        <v>107</v>
      </c>
      <c r="I87" s="874"/>
      <c r="J87" s="1125"/>
      <c r="K87" s="1126"/>
      <c r="L87" s="807"/>
      <c r="M87" s="808"/>
      <c r="N87" s="808"/>
      <c r="O87" s="808"/>
      <c r="P87" s="808"/>
      <c r="Q87" s="1333"/>
      <c r="R87" s="1352"/>
      <c r="S87" s="1353"/>
      <c r="T87" s="1396"/>
      <c r="U87" s="1351"/>
      <c r="V87" s="38"/>
      <c r="W87" s="38"/>
      <c r="X87" s="38"/>
      <c r="Y87" s="40">
        <v>2.5000000000000001E-3</v>
      </c>
      <c r="Z87" s="43">
        <f>IF(H87="ja",Y87,0)</f>
        <v>0</v>
      </c>
      <c r="AA87" s="44"/>
      <c r="AB87" s="44">
        <f t="shared" si="0"/>
        <v>0</v>
      </c>
      <c r="AC87" s="38"/>
      <c r="AD87" s="38"/>
      <c r="AE87" s="38"/>
      <c r="AF87" s="38"/>
    </row>
    <row r="88" spans="1:32" ht="15" customHeight="1" thickBot="1" x14ac:dyDescent="0.3">
      <c r="A88" s="1315"/>
      <c r="B88" s="1334" t="s">
        <v>411</v>
      </c>
      <c r="C88" s="1335"/>
      <c r="D88" s="1335"/>
      <c r="E88" s="1335"/>
      <c r="F88" s="1335"/>
      <c r="G88" s="1336"/>
      <c r="H88" s="913" t="s">
        <v>107</v>
      </c>
      <c r="I88" s="874"/>
      <c r="J88" s="1125"/>
      <c r="K88" s="1126"/>
      <c r="L88" s="807" t="s">
        <v>412</v>
      </c>
      <c r="M88" s="808"/>
      <c r="N88" s="808"/>
      <c r="O88" s="808"/>
      <c r="P88" s="808"/>
      <c r="Q88" s="1333" t="s">
        <v>107</v>
      </c>
      <c r="R88" s="1352"/>
      <c r="S88" s="1353"/>
      <c r="T88" s="1396"/>
      <c r="U88" s="1351"/>
      <c r="V88" s="38">
        <f>IF(AND(Q88="ja",R88=""),1,0)</f>
        <v>0</v>
      </c>
      <c r="W88" s="38"/>
      <c r="X88" s="38"/>
      <c r="Y88" s="40">
        <v>9.9500000000000005E-2</v>
      </c>
      <c r="Z88" s="43">
        <f>IF(H88="ja",Y88,0)</f>
        <v>0</v>
      </c>
      <c r="AA88" s="44"/>
      <c r="AB88" s="44">
        <f t="shared" si="0"/>
        <v>0</v>
      </c>
      <c r="AC88" s="38"/>
      <c r="AD88" s="38"/>
      <c r="AE88" s="38"/>
      <c r="AF88" s="38"/>
    </row>
    <row r="89" spans="1:32" ht="15" customHeight="1" thickBot="1" x14ac:dyDescent="0.3">
      <c r="A89" s="1315"/>
      <c r="B89" s="1325"/>
      <c r="C89" s="899"/>
      <c r="D89" s="899"/>
      <c r="E89" s="899"/>
      <c r="F89" s="899"/>
      <c r="G89" s="1326"/>
      <c r="H89" s="914"/>
      <c r="I89" s="874"/>
      <c r="J89" s="1125"/>
      <c r="K89" s="1126"/>
      <c r="L89" s="807"/>
      <c r="M89" s="808"/>
      <c r="N89" s="808"/>
      <c r="O89" s="808"/>
      <c r="P89" s="808"/>
      <c r="Q89" s="1333"/>
      <c r="R89" s="1352"/>
      <c r="S89" s="1353"/>
      <c r="T89" s="1396"/>
      <c r="U89" s="1351"/>
      <c r="V89" s="253"/>
      <c r="W89" s="38"/>
      <c r="X89" s="38"/>
      <c r="Y89" s="40"/>
      <c r="Z89" s="43"/>
      <c r="AA89" s="44"/>
      <c r="AB89" s="44">
        <f t="shared" si="0"/>
        <v>0</v>
      </c>
      <c r="AC89" s="38"/>
      <c r="AD89" s="38"/>
      <c r="AE89" s="38"/>
      <c r="AF89" s="38"/>
    </row>
    <row r="90" spans="1:32" ht="15" customHeight="1" thickBot="1" x14ac:dyDescent="0.3">
      <c r="A90" s="1315"/>
      <c r="B90" s="1325"/>
      <c r="C90" s="899"/>
      <c r="D90" s="899"/>
      <c r="E90" s="899"/>
      <c r="F90" s="899"/>
      <c r="G90" s="1326"/>
      <c r="H90" s="914"/>
      <c r="I90" s="874"/>
      <c r="J90" s="1125"/>
      <c r="K90" s="1126"/>
      <c r="L90" s="807"/>
      <c r="M90" s="808"/>
      <c r="N90" s="808"/>
      <c r="O90" s="808"/>
      <c r="P90" s="808"/>
      <c r="Q90" s="1333"/>
      <c r="R90" s="1352"/>
      <c r="S90" s="1353"/>
      <c r="T90" s="1396"/>
      <c r="U90" s="1351"/>
      <c r="V90" s="253"/>
      <c r="W90" s="38"/>
      <c r="X90" s="38"/>
      <c r="Y90" s="40"/>
      <c r="Z90" s="43"/>
      <c r="AA90" s="44"/>
      <c r="AB90" s="44">
        <f t="shared" si="0"/>
        <v>0</v>
      </c>
      <c r="AC90" s="38"/>
      <c r="AD90" s="38"/>
      <c r="AE90" s="38"/>
      <c r="AF90" s="38"/>
    </row>
    <row r="91" spans="1:32" ht="15" customHeight="1" thickBot="1" x14ac:dyDescent="0.3">
      <c r="A91" s="1315"/>
      <c r="B91" s="1325"/>
      <c r="C91" s="899"/>
      <c r="D91" s="899"/>
      <c r="E91" s="899"/>
      <c r="F91" s="899"/>
      <c r="G91" s="1326"/>
      <c r="H91" s="914"/>
      <c r="I91" s="874"/>
      <c r="J91" s="1125"/>
      <c r="K91" s="1126"/>
      <c r="L91" s="807" t="s">
        <v>413</v>
      </c>
      <c r="M91" s="808"/>
      <c r="N91" s="808"/>
      <c r="O91" s="808"/>
      <c r="P91" s="808"/>
      <c r="Q91" s="1333" t="s">
        <v>107</v>
      </c>
      <c r="R91" s="1352"/>
      <c r="S91" s="1353"/>
      <c r="T91" s="1396"/>
      <c r="U91" s="1351"/>
      <c r="V91" s="38">
        <f>IF(AND(Q91="ja",R91=""),1,0)</f>
        <v>0</v>
      </c>
      <c r="W91" s="38"/>
      <c r="X91" s="38"/>
      <c r="Y91" s="40"/>
      <c r="Z91" s="43"/>
      <c r="AA91" s="44"/>
      <c r="AB91" s="44">
        <f t="shared" si="0"/>
        <v>0</v>
      </c>
      <c r="AC91" s="38"/>
      <c r="AD91" s="38"/>
      <c r="AE91" s="38"/>
      <c r="AF91" s="38"/>
    </row>
    <row r="92" spans="1:32" ht="15" customHeight="1" thickBot="1" x14ac:dyDescent="0.3">
      <c r="A92" s="1315"/>
      <c r="B92" s="1325"/>
      <c r="C92" s="899"/>
      <c r="D92" s="899"/>
      <c r="E92" s="899"/>
      <c r="F92" s="899"/>
      <c r="G92" s="1326"/>
      <c r="H92" s="914"/>
      <c r="I92" s="874"/>
      <c r="J92" s="1125"/>
      <c r="K92" s="1126"/>
      <c r="L92" s="807"/>
      <c r="M92" s="808"/>
      <c r="N92" s="808"/>
      <c r="O92" s="808"/>
      <c r="P92" s="808"/>
      <c r="Q92" s="1333"/>
      <c r="R92" s="1352"/>
      <c r="S92" s="1353"/>
      <c r="T92" s="1396"/>
      <c r="U92" s="1351"/>
      <c r="V92" s="38"/>
      <c r="W92" s="38"/>
      <c r="X92" s="38"/>
      <c r="Y92" s="40"/>
      <c r="Z92" s="43"/>
      <c r="AA92" s="44"/>
      <c r="AB92" s="44">
        <f t="shared" si="0"/>
        <v>0</v>
      </c>
      <c r="AC92" s="38"/>
      <c r="AD92" s="38"/>
      <c r="AE92" s="38"/>
      <c r="AF92" s="38"/>
    </row>
    <row r="93" spans="1:32" ht="15" customHeight="1" thickBot="1" x14ac:dyDescent="0.3">
      <c r="A93" s="1315"/>
      <c r="B93" s="1325"/>
      <c r="C93" s="899"/>
      <c r="D93" s="899"/>
      <c r="E93" s="899"/>
      <c r="F93" s="899"/>
      <c r="G93" s="1326"/>
      <c r="H93" s="914"/>
      <c r="I93" s="874"/>
      <c r="J93" s="1125"/>
      <c r="K93" s="1126"/>
      <c r="L93" s="807"/>
      <c r="M93" s="808"/>
      <c r="N93" s="808"/>
      <c r="O93" s="808"/>
      <c r="P93" s="808"/>
      <c r="Q93" s="1333"/>
      <c r="R93" s="1352"/>
      <c r="S93" s="1353"/>
      <c r="T93" s="1396"/>
      <c r="U93" s="1351"/>
      <c r="V93" s="38"/>
      <c r="W93" s="38"/>
      <c r="X93" s="38"/>
      <c r="Y93" s="40"/>
      <c r="Z93" s="43"/>
      <c r="AA93" s="44"/>
      <c r="AB93" s="44">
        <f t="shared" si="0"/>
        <v>0</v>
      </c>
      <c r="AC93" s="38"/>
      <c r="AD93" s="38"/>
      <c r="AE93" s="38"/>
      <c r="AF93" s="38"/>
    </row>
    <row r="94" spans="1:32" ht="15" customHeight="1" thickBot="1" x14ac:dyDescent="0.3">
      <c r="A94" s="1315"/>
      <c r="B94" s="1325"/>
      <c r="C94" s="899"/>
      <c r="D94" s="899"/>
      <c r="E94" s="899"/>
      <c r="F94" s="899"/>
      <c r="G94" s="1326"/>
      <c r="H94" s="914"/>
      <c r="I94" s="874"/>
      <c r="J94" s="1125"/>
      <c r="K94" s="1126"/>
      <c r="L94" s="807" t="s">
        <v>206</v>
      </c>
      <c r="M94" s="808"/>
      <c r="N94" s="808"/>
      <c r="O94" s="808"/>
      <c r="P94" s="808"/>
      <c r="Q94" s="1333" t="s">
        <v>107</v>
      </c>
      <c r="R94" s="1352"/>
      <c r="S94" s="1353"/>
      <c r="T94" s="1396"/>
      <c r="U94" s="1351"/>
      <c r="V94" s="38">
        <f>IF(AND(Q94="ja",R94=""),1,0)</f>
        <v>0</v>
      </c>
      <c r="W94" s="38"/>
      <c r="X94" s="38"/>
      <c r="Y94" s="40"/>
      <c r="Z94" s="43"/>
      <c r="AA94" s="44"/>
      <c r="AB94" s="44">
        <f t="shared" si="0"/>
        <v>0</v>
      </c>
      <c r="AC94" s="38"/>
      <c r="AD94" s="38"/>
      <c r="AE94" s="38"/>
      <c r="AF94" s="38"/>
    </row>
    <row r="95" spans="1:32" ht="15" customHeight="1" thickBot="1" x14ac:dyDescent="0.3">
      <c r="A95" s="1315"/>
      <c r="B95" s="1325"/>
      <c r="C95" s="899"/>
      <c r="D95" s="899"/>
      <c r="E95" s="899"/>
      <c r="F95" s="899"/>
      <c r="G95" s="1326"/>
      <c r="H95" s="914"/>
      <c r="I95" s="874"/>
      <c r="J95" s="1125"/>
      <c r="K95" s="1126"/>
      <c r="L95" s="807"/>
      <c r="M95" s="808"/>
      <c r="N95" s="808"/>
      <c r="O95" s="808"/>
      <c r="P95" s="808"/>
      <c r="Q95" s="1333"/>
      <c r="R95" s="1352"/>
      <c r="S95" s="1353"/>
      <c r="T95" s="1396"/>
      <c r="U95" s="1351"/>
      <c r="V95" s="38"/>
      <c r="W95" s="38"/>
      <c r="X95" s="38"/>
      <c r="Y95" s="40"/>
      <c r="Z95" s="43"/>
      <c r="AA95" s="44"/>
      <c r="AB95" s="44">
        <f t="shared" si="0"/>
        <v>0</v>
      </c>
      <c r="AC95" s="38"/>
      <c r="AD95" s="38"/>
      <c r="AE95" s="38"/>
      <c r="AF95" s="38"/>
    </row>
    <row r="96" spans="1:32" ht="15" customHeight="1" thickBot="1" x14ac:dyDescent="0.3">
      <c r="A96" s="1315"/>
      <c r="B96" s="1325"/>
      <c r="C96" s="899"/>
      <c r="D96" s="899"/>
      <c r="E96" s="899"/>
      <c r="F96" s="899"/>
      <c r="G96" s="1326"/>
      <c r="H96" s="914"/>
      <c r="I96" s="874"/>
      <c r="J96" s="1125"/>
      <c r="K96" s="1126"/>
      <c r="L96" s="807"/>
      <c r="M96" s="808"/>
      <c r="N96" s="808"/>
      <c r="O96" s="808"/>
      <c r="P96" s="808"/>
      <c r="Q96" s="1333"/>
      <c r="R96" s="1352"/>
      <c r="S96" s="1353"/>
      <c r="T96" s="1396"/>
      <c r="U96" s="1351"/>
      <c r="V96" s="253"/>
      <c r="W96" s="38"/>
      <c r="X96" s="38"/>
      <c r="Y96" s="40"/>
      <c r="Z96" s="43"/>
      <c r="AA96" s="44"/>
      <c r="AB96" s="44">
        <f t="shared" si="0"/>
        <v>0</v>
      </c>
      <c r="AC96" s="38"/>
      <c r="AD96" s="38"/>
      <c r="AE96" s="38"/>
      <c r="AF96" s="38"/>
    </row>
    <row r="97" spans="1:32" ht="15" customHeight="1" thickBot="1" x14ac:dyDescent="0.3">
      <c r="A97" s="1315"/>
      <c r="B97" s="1325"/>
      <c r="C97" s="899"/>
      <c r="D97" s="899"/>
      <c r="E97" s="899"/>
      <c r="F97" s="899"/>
      <c r="G97" s="1326"/>
      <c r="H97" s="914"/>
      <c r="I97" s="874"/>
      <c r="J97" s="1125"/>
      <c r="K97" s="1126"/>
      <c r="L97" s="807"/>
      <c r="M97" s="808"/>
      <c r="N97" s="808"/>
      <c r="O97" s="808"/>
      <c r="P97" s="808"/>
      <c r="Q97" s="1333"/>
      <c r="R97" s="1352"/>
      <c r="S97" s="1353"/>
      <c r="T97" s="1396"/>
      <c r="U97" s="1351"/>
      <c r="V97" s="253"/>
      <c r="W97" s="38"/>
      <c r="X97" s="38"/>
      <c r="Y97" s="40"/>
      <c r="Z97" s="43"/>
      <c r="AA97" s="44"/>
      <c r="AB97" s="44">
        <f t="shared" si="0"/>
        <v>0</v>
      </c>
      <c r="AC97" s="38"/>
      <c r="AD97" s="38"/>
      <c r="AE97" s="38"/>
      <c r="AF97" s="38"/>
    </row>
    <row r="98" spans="1:32" ht="15" customHeight="1" thickBot="1" x14ac:dyDescent="0.3">
      <c r="A98" s="1315"/>
      <c r="B98" s="1325"/>
      <c r="C98" s="899"/>
      <c r="D98" s="899"/>
      <c r="E98" s="899"/>
      <c r="F98" s="899"/>
      <c r="G98" s="1326"/>
      <c r="H98" s="914"/>
      <c r="I98" s="874"/>
      <c r="J98" s="1125"/>
      <c r="K98" s="1126"/>
      <c r="L98" s="807"/>
      <c r="M98" s="808"/>
      <c r="N98" s="808"/>
      <c r="O98" s="808"/>
      <c r="P98" s="808"/>
      <c r="Q98" s="1333" t="s">
        <v>107</v>
      </c>
      <c r="R98" s="1352"/>
      <c r="S98" s="1353"/>
      <c r="T98" s="1396"/>
      <c r="U98" s="1351"/>
      <c r="V98" s="38">
        <f>IF(AND(Q98="ja",R98=""),1,0)</f>
        <v>0</v>
      </c>
      <c r="W98" s="38"/>
      <c r="X98" s="38"/>
      <c r="Y98" s="40"/>
      <c r="Z98" s="43"/>
      <c r="AA98" s="44"/>
      <c r="AB98" s="44">
        <f t="shared" si="0"/>
        <v>0</v>
      </c>
      <c r="AC98" s="38"/>
      <c r="AD98" s="38"/>
      <c r="AE98" s="38"/>
      <c r="AF98" s="38"/>
    </row>
    <row r="99" spans="1:32" ht="15" customHeight="1" thickBot="1" x14ac:dyDescent="0.3">
      <c r="A99" s="1315"/>
      <c r="B99" s="1325"/>
      <c r="C99" s="899"/>
      <c r="D99" s="899"/>
      <c r="E99" s="899"/>
      <c r="F99" s="899"/>
      <c r="G99" s="1326"/>
      <c r="H99" s="914"/>
      <c r="I99" s="874"/>
      <c r="J99" s="1125"/>
      <c r="K99" s="1126"/>
      <c r="L99" s="807"/>
      <c r="M99" s="808"/>
      <c r="N99" s="808"/>
      <c r="O99" s="808"/>
      <c r="P99" s="808"/>
      <c r="Q99" s="1333"/>
      <c r="R99" s="1352"/>
      <c r="S99" s="1353"/>
      <c r="T99" s="1396"/>
      <c r="U99" s="1351"/>
      <c r="V99" s="38"/>
      <c r="W99" s="38"/>
      <c r="X99" s="38"/>
      <c r="Y99" s="40"/>
      <c r="Z99" s="43"/>
      <c r="AA99" s="44"/>
      <c r="AB99" s="44">
        <f t="shared" si="0"/>
        <v>0</v>
      </c>
      <c r="AC99" s="38"/>
      <c r="AD99" s="38"/>
      <c r="AE99" s="38"/>
      <c r="AF99" s="38"/>
    </row>
    <row r="100" spans="1:32" ht="15" customHeight="1" thickBot="1" x14ac:dyDescent="0.3">
      <c r="A100" s="1315"/>
      <c r="B100" s="1327"/>
      <c r="C100" s="1328"/>
      <c r="D100" s="1328"/>
      <c r="E100" s="1328"/>
      <c r="F100" s="1328"/>
      <c r="G100" s="1329"/>
      <c r="H100" s="996"/>
      <c r="I100" s="874"/>
      <c r="J100" s="1125"/>
      <c r="K100" s="1126"/>
      <c r="L100" s="807"/>
      <c r="M100" s="808"/>
      <c r="N100" s="808"/>
      <c r="O100" s="808"/>
      <c r="P100" s="808"/>
      <c r="Q100" s="1333"/>
      <c r="R100" s="1352"/>
      <c r="S100" s="1353"/>
      <c r="T100" s="1396"/>
      <c r="U100" s="1351"/>
      <c r="V100" s="38"/>
      <c r="W100" s="38"/>
      <c r="X100" s="38"/>
      <c r="Y100" s="40"/>
      <c r="Z100" s="43"/>
      <c r="AA100" s="44"/>
      <c r="AB100" s="44">
        <f t="shared" si="0"/>
        <v>0</v>
      </c>
      <c r="AC100" s="38"/>
      <c r="AD100" s="38"/>
      <c r="AE100" s="38"/>
      <c r="AF100" s="38"/>
    </row>
    <row r="101" spans="1:32" ht="15" customHeight="1" thickBot="1" x14ac:dyDescent="0.3">
      <c r="A101" s="1315"/>
      <c r="B101" s="1334" t="s">
        <v>414</v>
      </c>
      <c r="C101" s="1335"/>
      <c r="D101" s="1335"/>
      <c r="E101" s="1335"/>
      <c r="F101" s="1335"/>
      <c r="G101" s="1336"/>
      <c r="H101" s="913" t="s">
        <v>107</v>
      </c>
      <c r="I101" s="874"/>
      <c r="J101" s="1125"/>
      <c r="K101" s="1126"/>
      <c r="L101" s="807"/>
      <c r="M101" s="808"/>
      <c r="N101" s="808"/>
      <c r="O101" s="808"/>
      <c r="P101" s="808"/>
      <c r="Q101" s="1333" t="s">
        <v>107</v>
      </c>
      <c r="R101" s="1352"/>
      <c r="S101" s="1353"/>
      <c r="T101" s="1396"/>
      <c r="U101" s="1351"/>
      <c r="V101" s="38">
        <f>IF(AND(Q101="ja",R101=""),1,0)</f>
        <v>0</v>
      </c>
      <c r="W101" s="38"/>
      <c r="X101" s="38"/>
      <c r="Y101" s="40">
        <v>2.5000000000000001E-3</v>
      </c>
      <c r="Z101" s="43">
        <f>IF(H101="ja",Y101,0)</f>
        <v>0</v>
      </c>
      <c r="AA101" s="44"/>
      <c r="AB101" s="44">
        <f t="shared" si="0"/>
        <v>0</v>
      </c>
      <c r="AC101" s="38"/>
      <c r="AD101" s="38"/>
      <c r="AE101" s="38"/>
      <c r="AF101" s="38"/>
    </row>
    <row r="102" spans="1:32" ht="15" customHeight="1" thickBot="1" x14ac:dyDescent="0.3">
      <c r="A102" s="1315"/>
      <c r="B102" s="1325"/>
      <c r="C102" s="899"/>
      <c r="D102" s="899"/>
      <c r="E102" s="899"/>
      <c r="F102" s="899"/>
      <c r="G102" s="1326"/>
      <c r="H102" s="914"/>
      <c r="I102" s="874"/>
      <c r="J102" s="1125"/>
      <c r="K102" s="1126"/>
      <c r="L102" s="807"/>
      <c r="M102" s="808"/>
      <c r="N102" s="808"/>
      <c r="O102" s="808"/>
      <c r="P102" s="808"/>
      <c r="Q102" s="1333"/>
      <c r="R102" s="1352"/>
      <c r="S102" s="1353"/>
      <c r="T102" s="1396"/>
      <c r="U102" s="1351"/>
      <c r="V102" s="253"/>
      <c r="W102" s="38"/>
      <c r="X102" s="38"/>
      <c r="Y102" s="40"/>
      <c r="Z102" s="43"/>
      <c r="AA102" s="44"/>
      <c r="AB102" s="44">
        <f t="shared" si="0"/>
        <v>0</v>
      </c>
      <c r="AC102" s="38"/>
      <c r="AD102" s="38"/>
      <c r="AE102" s="38"/>
      <c r="AF102" s="38"/>
    </row>
    <row r="103" spans="1:32" ht="15" customHeight="1" thickBot="1" x14ac:dyDescent="0.3">
      <c r="A103" s="1315"/>
      <c r="B103" s="1325"/>
      <c r="C103" s="899"/>
      <c r="D103" s="899"/>
      <c r="E103" s="899"/>
      <c r="F103" s="899"/>
      <c r="G103" s="1326"/>
      <c r="H103" s="914"/>
      <c r="I103" s="874"/>
      <c r="J103" s="1125"/>
      <c r="K103" s="1126"/>
      <c r="L103" s="807"/>
      <c r="M103" s="808"/>
      <c r="N103" s="808"/>
      <c r="O103" s="808"/>
      <c r="P103" s="808"/>
      <c r="Q103" s="1333"/>
      <c r="R103" s="1352"/>
      <c r="S103" s="1353"/>
      <c r="T103" s="1396"/>
      <c r="U103" s="1351"/>
      <c r="V103" s="253"/>
      <c r="W103" s="38"/>
      <c r="X103" s="38"/>
      <c r="Y103" s="40"/>
      <c r="Z103" s="43"/>
      <c r="AA103" s="44"/>
      <c r="AB103" s="44">
        <f t="shared" si="0"/>
        <v>0</v>
      </c>
      <c r="AC103" s="38"/>
      <c r="AD103" s="38"/>
      <c r="AE103" s="38"/>
      <c r="AF103" s="38"/>
    </row>
    <row r="104" spans="1:32" ht="15" customHeight="1" thickBot="1" x14ac:dyDescent="0.3">
      <c r="A104" s="1315"/>
      <c r="B104" s="1325"/>
      <c r="C104" s="899"/>
      <c r="D104" s="899"/>
      <c r="E104" s="899"/>
      <c r="F104" s="899"/>
      <c r="G104" s="1326"/>
      <c r="H104" s="914"/>
      <c r="I104" s="874"/>
      <c r="J104" s="1125"/>
      <c r="K104" s="1126"/>
      <c r="L104" s="807"/>
      <c r="M104" s="808"/>
      <c r="N104" s="808"/>
      <c r="O104" s="808"/>
      <c r="P104" s="808"/>
      <c r="Q104" s="1333" t="s">
        <v>107</v>
      </c>
      <c r="R104" s="1352"/>
      <c r="S104" s="1353"/>
      <c r="T104" s="1396"/>
      <c r="U104" s="1351"/>
      <c r="V104" s="38">
        <f>IF(AND(Q104="ja",R104=""),1,0)</f>
        <v>0</v>
      </c>
      <c r="W104" s="38"/>
      <c r="X104" s="38"/>
      <c r="Y104" s="40"/>
      <c r="Z104" s="43"/>
      <c r="AA104" s="44"/>
      <c r="AB104" s="44">
        <f t="shared" ref="AB104:AB167" si="1">IF(Q104="ja",1,0)</f>
        <v>0</v>
      </c>
      <c r="AC104" s="38"/>
      <c r="AD104" s="38"/>
      <c r="AE104" s="38"/>
      <c r="AF104" s="38"/>
    </row>
    <row r="105" spans="1:32" ht="15" customHeight="1" thickBot="1" x14ac:dyDescent="0.3">
      <c r="A105" s="1315"/>
      <c r="B105" s="1325"/>
      <c r="C105" s="899"/>
      <c r="D105" s="899"/>
      <c r="E105" s="899"/>
      <c r="F105" s="899"/>
      <c r="G105" s="1326"/>
      <c r="H105" s="914"/>
      <c r="I105" s="874"/>
      <c r="J105" s="1125"/>
      <c r="K105" s="1126"/>
      <c r="L105" s="807"/>
      <c r="M105" s="808"/>
      <c r="N105" s="808"/>
      <c r="O105" s="808"/>
      <c r="P105" s="808"/>
      <c r="Q105" s="1333"/>
      <c r="R105" s="1352"/>
      <c r="S105" s="1353"/>
      <c r="T105" s="1396"/>
      <c r="U105" s="1351"/>
      <c r="V105" s="38"/>
      <c r="W105" s="38"/>
      <c r="X105" s="38"/>
      <c r="Y105" s="40"/>
      <c r="Z105" s="43"/>
      <c r="AA105" s="44"/>
      <c r="AB105" s="44">
        <f t="shared" si="1"/>
        <v>0</v>
      </c>
      <c r="AC105" s="38"/>
      <c r="AD105" s="38"/>
      <c r="AE105" s="38"/>
      <c r="AF105" s="38"/>
    </row>
    <row r="106" spans="1:32" ht="15" customHeight="1" thickBot="1" x14ac:dyDescent="0.3">
      <c r="A106" s="1315"/>
      <c r="B106" s="1327"/>
      <c r="C106" s="1328"/>
      <c r="D106" s="1328"/>
      <c r="E106" s="1328"/>
      <c r="F106" s="1328"/>
      <c r="G106" s="1329"/>
      <c r="H106" s="996"/>
      <c r="I106" s="874"/>
      <c r="J106" s="1125"/>
      <c r="K106" s="1126"/>
      <c r="L106" s="807"/>
      <c r="M106" s="808"/>
      <c r="N106" s="808"/>
      <c r="O106" s="808"/>
      <c r="P106" s="808"/>
      <c r="Q106" s="1333"/>
      <c r="R106" s="1352"/>
      <c r="S106" s="1353"/>
      <c r="T106" s="1396"/>
      <c r="U106" s="1351"/>
      <c r="V106" s="38"/>
      <c r="W106" s="38"/>
      <c r="X106" s="38"/>
      <c r="Y106" s="40"/>
      <c r="Z106" s="43"/>
      <c r="AA106" s="44"/>
      <c r="AB106" s="44">
        <f t="shared" si="1"/>
        <v>0</v>
      </c>
      <c r="AC106" s="38"/>
      <c r="AD106" s="38"/>
      <c r="AE106" s="38"/>
      <c r="AF106" s="38"/>
    </row>
    <row r="107" spans="1:32" ht="15" customHeight="1" thickBot="1" x14ac:dyDescent="0.3">
      <c r="A107" s="1315"/>
      <c r="B107" s="1334" t="s">
        <v>415</v>
      </c>
      <c r="C107" s="1335"/>
      <c r="D107" s="1335"/>
      <c r="E107" s="1335"/>
      <c r="F107" s="1335"/>
      <c r="G107" s="1336"/>
      <c r="H107" s="913" t="s">
        <v>107</v>
      </c>
      <c r="I107" s="874"/>
      <c r="J107" s="1125"/>
      <c r="K107" s="1126"/>
      <c r="L107" s="807"/>
      <c r="M107" s="808"/>
      <c r="N107" s="808"/>
      <c r="O107" s="808"/>
      <c r="P107" s="808"/>
      <c r="Q107" s="1333" t="s">
        <v>107</v>
      </c>
      <c r="R107" s="1352"/>
      <c r="S107" s="1353"/>
      <c r="T107" s="1396"/>
      <c r="U107" s="1351"/>
      <c r="V107" s="38">
        <f>IF(AND(Q107="ja",R107=""),1,0)</f>
        <v>0</v>
      </c>
      <c r="W107" s="38"/>
      <c r="X107" s="38"/>
      <c r="Y107" s="40">
        <v>1.5E-3</v>
      </c>
      <c r="Z107" s="43">
        <f>IF(H107="ja",Y107,0)</f>
        <v>0</v>
      </c>
      <c r="AA107" s="44"/>
      <c r="AB107" s="44">
        <f t="shared" si="1"/>
        <v>0</v>
      </c>
      <c r="AC107" s="38"/>
      <c r="AD107" s="38"/>
      <c r="AE107" s="38"/>
      <c r="AF107" s="38"/>
    </row>
    <row r="108" spans="1:32" ht="15" customHeight="1" thickBot="1" x14ac:dyDescent="0.3">
      <c r="A108" s="1315"/>
      <c r="B108" s="1327"/>
      <c r="C108" s="1328"/>
      <c r="D108" s="1328"/>
      <c r="E108" s="1328"/>
      <c r="F108" s="1328"/>
      <c r="G108" s="1329"/>
      <c r="H108" s="996"/>
      <c r="I108" s="874"/>
      <c r="J108" s="1125"/>
      <c r="K108" s="1126"/>
      <c r="L108" s="807"/>
      <c r="M108" s="808"/>
      <c r="N108" s="808"/>
      <c r="O108" s="808"/>
      <c r="P108" s="808"/>
      <c r="Q108" s="1333"/>
      <c r="R108" s="1352"/>
      <c r="S108" s="1353"/>
      <c r="T108" s="1396"/>
      <c r="U108" s="1351"/>
      <c r="V108" s="253"/>
      <c r="W108" s="38"/>
      <c r="X108" s="38"/>
      <c r="Y108" s="40"/>
      <c r="Z108" s="43"/>
      <c r="AA108" s="44"/>
      <c r="AB108" s="44">
        <f t="shared" si="1"/>
        <v>0</v>
      </c>
      <c r="AC108" s="38"/>
      <c r="AD108" s="38"/>
      <c r="AE108" s="38"/>
      <c r="AF108" s="38"/>
    </row>
    <row r="109" spans="1:32" ht="15" customHeight="1" thickBot="1" x14ac:dyDescent="0.3">
      <c r="A109" s="1315"/>
      <c r="B109" s="1334" t="s">
        <v>416</v>
      </c>
      <c r="C109" s="1335"/>
      <c r="D109" s="1335"/>
      <c r="E109" s="1335"/>
      <c r="F109" s="1335"/>
      <c r="G109" s="1336"/>
      <c r="H109" s="913" t="s">
        <v>107</v>
      </c>
      <c r="I109" s="874"/>
      <c r="J109" s="1125"/>
      <c r="K109" s="1126"/>
      <c r="L109" s="807"/>
      <c r="M109" s="808"/>
      <c r="N109" s="808"/>
      <c r="O109" s="808"/>
      <c r="P109" s="808"/>
      <c r="Q109" s="1333"/>
      <c r="R109" s="1352"/>
      <c r="S109" s="1353"/>
      <c r="T109" s="1396"/>
      <c r="U109" s="1351"/>
      <c r="V109" s="253"/>
      <c r="W109" s="38"/>
      <c r="X109" s="38"/>
      <c r="Y109" s="40">
        <v>6.4999999999999997E-3</v>
      </c>
      <c r="Z109" s="43">
        <f>IF(H109="ja",Y109,0)</f>
        <v>0</v>
      </c>
      <c r="AA109" s="44"/>
      <c r="AB109" s="44">
        <f t="shared" si="1"/>
        <v>0</v>
      </c>
      <c r="AC109" s="38"/>
      <c r="AD109" s="38"/>
      <c r="AE109" s="38"/>
      <c r="AF109" s="38"/>
    </row>
    <row r="110" spans="1:32" ht="15" customHeight="1" thickBot="1" x14ac:dyDescent="0.3">
      <c r="A110" s="1315"/>
      <c r="B110" s="1327"/>
      <c r="C110" s="1328"/>
      <c r="D110" s="1328"/>
      <c r="E110" s="1328"/>
      <c r="F110" s="1328"/>
      <c r="G110" s="1329"/>
      <c r="H110" s="996"/>
      <c r="I110" s="874"/>
      <c r="J110" s="1125"/>
      <c r="K110" s="1126"/>
      <c r="L110" s="807"/>
      <c r="M110" s="808"/>
      <c r="N110" s="808"/>
      <c r="O110" s="808"/>
      <c r="P110" s="808"/>
      <c r="Q110" s="1333" t="s">
        <v>107</v>
      </c>
      <c r="R110" s="1352"/>
      <c r="S110" s="1353"/>
      <c r="T110" s="1396"/>
      <c r="U110" s="1351"/>
      <c r="V110" s="38">
        <f>IF(AND(Q110="ja",R110=""),1,0)</f>
        <v>0</v>
      </c>
      <c r="W110" s="38"/>
      <c r="X110" s="38"/>
      <c r="Y110" s="40"/>
      <c r="Z110" s="43"/>
      <c r="AA110" s="44"/>
      <c r="AB110" s="44">
        <f t="shared" si="1"/>
        <v>0</v>
      </c>
      <c r="AC110" s="38"/>
      <c r="AD110" s="38"/>
      <c r="AE110" s="38"/>
      <c r="AF110" s="38"/>
    </row>
    <row r="111" spans="1:32" ht="15" customHeight="1" thickBot="1" x14ac:dyDescent="0.3">
      <c r="A111" s="1315"/>
      <c r="B111" s="1334" t="s">
        <v>417</v>
      </c>
      <c r="C111" s="1335"/>
      <c r="D111" s="1335"/>
      <c r="E111" s="1335"/>
      <c r="F111" s="1335"/>
      <c r="G111" s="1336"/>
      <c r="H111" s="913" t="s">
        <v>107</v>
      </c>
      <c r="I111" s="874"/>
      <c r="J111" s="1125"/>
      <c r="K111" s="1126"/>
      <c r="L111" s="807"/>
      <c r="M111" s="808"/>
      <c r="N111" s="808"/>
      <c r="O111" s="808"/>
      <c r="P111" s="808"/>
      <c r="Q111" s="1333"/>
      <c r="R111" s="1352"/>
      <c r="S111" s="1353"/>
      <c r="T111" s="1396"/>
      <c r="U111" s="1351"/>
      <c r="V111" s="38"/>
      <c r="W111" s="38"/>
      <c r="X111" s="38"/>
      <c r="Y111" s="40">
        <v>1E-3</v>
      </c>
      <c r="Z111" s="43">
        <f>IF(H111="ja",Y111,0)</f>
        <v>0</v>
      </c>
      <c r="AA111" s="44"/>
      <c r="AB111" s="44">
        <f t="shared" si="1"/>
        <v>0</v>
      </c>
      <c r="AC111" s="38"/>
      <c r="AD111" s="38"/>
      <c r="AE111" s="38"/>
      <c r="AF111" s="38"/>
    </row>
    <row r="112" spans="1:32" ht="15" customHeight="1" thickBot="1" x14ac:dyDescent="0.3">
      <c r="A112" s="1315"/>
      <c r="B112" s="1327"/>
      <c r="C112" s="1328"/>
      <c r="D112" s="1328"/>
      <c r="E112" s="1328"/>
      <c r="F112" s="1328"/>
      <c r="G112" s="1329"/>
      <c r="H112" s="996"/>
      <c r="I112" s="874"/>
      <c r="J112" s="1125"/>
      <c r="K112" s="1126"/>
      <c r="L112" s="807"/>
      <c r="M112" s="808"/>
      <c r="N112" s="808"/>
      <c r="O112" s="808"/>
      <c r="P112" s="808"/>
      <c r="Q112" s="1333"/>
      <c r="R112" s="1352"/>
      <c r="S112" s="1353"/>
      <c r="T112" s="1396"/>
      <c r="U112" s="1351"/>
      <c r="V112" s="38"/>
      <c r="W112" s="38"/>
      <c r="X112" s="38"/>
      <c r="Y112" s="40"/>
      <c r="Z112" s="43"/>
      <c r="AA112" s="43"/>
      <c r="AB112" s="44">
        <f t="shared" si="1"/>
        <v>0</v>
      </c>
      <c r="AC112" s="38"/>
      <c r="AD112" s="38"/>
      <c r="AE112" s="38"/>
      <c r="AF112" s="38"/>
    </row>
    <row r="113" spans="1:32" ht="15" customHeight="1" thickBot="1" x14ac:dyDescent="0.3">
      <c r="A113" s="1315"/>
      <c r="B113" s="1334" t="s">
        <v>184</v>
      </c>
      <c r="C113" s="1335"/>
      <c r="D113" s="1335"/>
      <c r="E113" s="1335"/>
      <c r="F113" s="1335"/>
      <c r="G113" s="1336"/>
      <c r="H113" s="913" t="s">
        <v>107</v>
      </c>
      <c r="I113" s="874"/>
      <c r="J113" s="1125"/>
      <c r="K113" s="1126"/>
      <c r="L113" s="1337"/>
      <c r="M113" s="1338"/>
      <c r="N113" s="1338"/>
      <c r="O113" s="1338"/>
      <c r="P113" s="1338"/>
      <c r="Q113" s="1333" t="s">
        <v>107</v>
      </c>
      <c r="R113" s="1352"/>
      <c r="S113" s="1353"/>
      <c r="T113" s="1396"/>
      <c r="U113" s="1351"/>
      <c r="V113" s="38">
        <f>IF(AND(Q113="ja",R113=""),1,0)</f>
        <v>0</v>
      </c>
      <c r="W113" s="38"/>
      <c r="X113" s="38"/>
      <c r="Y113" s="40">
        <v>1.5E-3</v>
      </c>
      <c r="Z113" s="43">
        <f>IF(H113="ja",Y113,0)</f>
        <v>0</v>
      </c>
      <c r="AA113" s="44"/>
      <c r="AB113" s="44">
        <f t="shared" si="1"/>
        <v>0</v>
      </c>
      <c r="AC113" s="38"/>
      <c r="AD113" s="38"/>
      <c r="AE113" s="38"/>
      <c r="AF113" s="38"/>
    </row>
    <row r="114" spans="1:32" ht="15" customHeight="1" thickBot="1" x14ac:dyDescent="0.3">
      <c r="A114" s="1315"/>
      <c r="B114" s="1327"/>
      <c r="C114" s="1328"/>
      <c r="D114" s="1328"/>
      <c r="E114" s="1328"/>
      <c r="F114" s="1328"/>
      <c r="G114" s="1329"/>
      <c r="H114" s="996"/>
      <c r="I114" s="875"/>
      <c r="J114" s="1127"/>
      <c r="K114" s="1128"/>
      <c r="L114" s="1402"/>
      <c r="M114" s="1403"/>
      <c r="N114" s="1403"/>
      <c r="O114" s="1403"/>
      <c r="P114" s="1403"/>
      <c r="Q114" s="1333"/>
      <c r="R114" s="1365"/>
      <c r="S114" s="1366"/>
      <c r="T114" s="1397"/>
      <c r="U114" s="1351"/>
      <c r="V114" s="38"/>
      <c r="W114" s="38"/>
      <c r="X114" s="38"/>
      <c r="Y114" s="40"/>
      <c r="Z114" s="43"/>
      <c r="AA114" s="44"/>
      <c r="AB114" s="44">
        <f t="shared" si="1"/>
        <v>0</v>
      </c>
      <c r="AC114" s="38"/>
      <c r="AD114" s="38"/>
      <c r="AE114" s="38"/>
      <c r="AF114" s="38"/>
    </row>
    <row r="115" spans="1:32" ht="15" customHeight="1" x14ac:dyDescent="0.25">
      <c r="A115" s="1315"/>
      <c r="B115" s="1055" t="s">
        <v>167</v>
      </c>
      <c r="C115" s="1056"/>
      <c r="D115" s="1056"/>
      <c r="E115" s="1056"/>
      <c r="F115" s="1056"/>
      <c r="G115" s="1056"/>
      <c r="H115" s="1061"/>
      <c r="I115" s="1055">
        <f>IF(N19="Kostenberechnung liegt noch nicht vor",I78,N19)</f>
        <v>0</v>
      </c>
      <c r="J115" s="1056"/>
      <c r="K115" s="1131"/>
      <c r="L115" s="1377">
        <f>SUM(R82:S114)</f>
        <v>0</v>
      </c>
      <c r="M115" s="1378"/>
      <c r="N115" s="1378"/>
      <c r="O115" s="1378"/>
      <c r="P115" s="1399"/>
      <c r="Q115" s="1383"/>
      <c r="R115" s="1386"/>
      <c r="S115" s="1387"/>
      <c r="T115" s="1367"/>
      <c r="U115" s="1367"/>
      <c r="V115" s="38"/>
      <c r="W115" s="38"/>
      <c r="X115" s="38"/>
      <c r="Y115" s="40"/>
      <c r="Z115" s="98">
        <f>SUM(Z82:Z113)</f>
        <v>0</v>
      </c>
      <c r="AA115" s="44"/>
      <c r="AB115" s="44">
        <f t="shared" si="1"/>
        <v>0</v>
      </c>
      <c r="AC115" s="38"/>
      <c r="AD115" s="38"/>
      <c r="AE115" s="38"/>
      <c r="AF115" s="38"/>
    </row>
    <row r="116" spans="1:32" x14ac:dyDescent="0.25">
      <c r="A116" s="1315"/>
      <c r="B116" s="1057"/>
      <c r="C116" s="1058"/>
      <c r="D116" s="1058"/>
      <c r="E116" s="1058"/>
      <c r="F116" s="1058"/>
      <c r="G116" s="1058"/>
      <c r="H116" s="1062"/>
      <c r="I116" s="1057"/>
      <c r="J116" s="1058"/>
      <c r="K116" s="1132"/>
      <c r="L116" s="1379"/>
      <c r="M116" s="1380"/>
      <c r="N116" s="1380"/>
      <c r="O116" s="1380"/>
      <c r="P116" s="1400"/>
      <c r="Q116" s="1384"/>
      <c r="R116" s="1388"/>
      <c r="S116" s="1389"/>
      <c r="T116" s="1368"/>
      <c r="U116" s="1368"/>
      <c r="V116" s="38"/>
      <c r="W116" s="38"/>
      <c r="X116" s="38"/>
      <c r="Y116" s="38"/>
      <c r="Z116" s="38"/>
      <c r="AA116" s="44"/>
      <c r="AB116" s="44">
        <f t="shared" si="1"/>
        <v>0</v>
      </c>
      <c r="AC116" s="38"/>
      <c r="AD116" s="38"/>
      <c r="AE116" s="38"/>
      <c r="AF116" s="38"/>
    </row>
    <row r="117" spans="1:32" ht="14.55" thickBot="1" x14ac:dyDescent="0.3">
      <c r="A117" s="1315"/>
      <c r="B117" s="1059"/>
      <c r="C117" s="1060"/>
      <c r="D117" s="1060"/>
      <c r="E117" s="1060"/>
      <c r="F117" s="1060"/>
      <c r="G117" s="1060"/>
      <c r="H117" s="1063"/>
      <c r="I117" s="1059"/>
      <c r="J117" s="1060"/>
      <c r="K117" s="1133"/>
      <c r="L117" s="1381"/>
      <c r="M117" s="1382"/>
      <c r="N117" s="1382"/>
      <c r="O117" s="1382"/>
      <c r="P117" s="1401"/>
      <c r="Q117" s="1385"/>
      <c r="R117" s="1390"/>
      <c r="S117" s="1391"/>
      <c r="T117" s="1368"/>
      <c r="U117" s="1369"/>
      <c r="V117" s="38"/>
      <c r="W117" s="38"/>
      <c r="X117" s="38"/>
      <c r="Y117" s="38"/>
      <c r="Z117" s="38"/>
      <c r="AA117" s="44"/>
      <c r="AB117" s="44">
        <f t="shared" si="1"/>
        <v>0</v>
      </c>
      <c r="AC117" s="38"/>
      <c r="AD117" s="38"/>
      <c r="AE117" s="38"/>
      <c r="AF117" s="38"/>
    </row>
    <row r="118" spans="1:32" ht="14.55" thickBot="1" x14ac:dyDescent="0.3">
      <c r="A118" s="1315"/>
      <c r="B118" s="1371" t="s">
        <v>212</v>
      </c>
      <c r="C118" s="1372"/>
      <c r="D118" s="1372"/>
      <c r="E118" s="1372"/>
      <c r="F118" s="1372"/>
      <c r="G118" s="1372"/>
      <c r="H118" s="251"/>
      <c r="I118" s="793"/>
      <c r="J118" s="794"/>
      <c r="K118" s="1398"/>
      <c r="L118" s="1373"/>
      <c r="M118" s="1374"/>
      <c r="N118" s="1374"/>
      <c r="O118" s="1374"/>
      <c r="P118" s="1374"/>
      <c r="Q118" s="252"/>
      <c r="R118" s="1363"/>
      <c r="S118" s="1364"/>
      <c r="T118" s="249"/>
      <c r="U118" s="249"/>
      <c r="V118" s="38"/>
      <c r="W118" s="38"/>
      <c r="X118" s="38"/>
      <c r="Y118" s="38"/>
      <c r="Z118" s="38"/>
      <c r="AA118" s="44"/>
      <c r="AB118" s="44">
        <f t="shared" si="1"/>
        <v>0</v>
      </c>
      <c r="AC118" s="38"/>
      <c r="AD118" s="38"/>
      <c r="AE118" s="38"/>
      <c r="AF118" s="38"/>
    </row>
    <row r="119" spans="1:32" ht="15" customHeight="1" thickBot="1" x14ac:dyDescent="0.3">
      <c r="A119" s="1315"/>
      <c r="B119" s="1341" t="s">
        <v>418</v>
      </c>
      <c r="C119" s="1342"/>
      <c r="D119" s="1342"/>
      <c r="E119" s="1342"/>
      <c r="F119" s="1342"/>
      <c r="G119" s="1343"/>
      <c r="H119" s="995" t="s">
        <v>107</v>
      </c>
      <c r="I119" s="873">
        <f>Z127</f>
        <v>0</v>
      </c>
      <c r="J119" s="1123">
        <f>I115*I119</f>
        <v>0</v>
      </c>
      <c r="K119" s="1124"/>
      <c r="L119" s="1404"/>
      <c r="M119" s="1405"/>
      <c r="N119" s="1405"/>
      <c r="O119" s="1405"/>
      <c r="P119" s="1405"/>
      <c r="Q119" s="1333" t="s">
        <v>107</v>
      </c>
      <c r="R119" s="1352"/>
      <c r="S119" s="1353"/>
      <c r="T119" s="1395" t="str">
        <f>IFERROR(IF((VLOOKUP(U119,Überblick!$M$124:$N$132,2))="ja","ja","nein"),"")</f>
        <v/>
      </c>
      <c r="U119" s="1351"/>
      <c r="V119" s="38">
        <f>IF(AND(Q119="ja",R119=""),1,0)</f>
        <v>0</v>
      </c>
      <c r="W119" s="38"/>
      <c r="X119" s="38"/>
      <c r="Y119" s="40">
        <v>1.7500000000000002E-2</v>
      </c>
      <c r="Z119" s="43">
        <f>IF(H119="ja",Y119,0)</f>
        <v>0</v>
      </c>
      <c r="AA119" s="44"/>
      <c r="AB119" s="44">
        <f t="shared" si="1"/>
        <v>0</v>
      </c>
      <c r="AC119" s="38">
        <f>IF(AND(I119+SUM(V119:V126)&gt;0,U119=""),1,0)</f>
        <v>0</v>
      </c>
      <c r="AD119" s="38"/>
      <c r="AE119" s="38"/>
      <c r="AF119" s="38"/>
    </row>
    <row r="120" spans="1:32" ht="15" customHeight="1" thickBot="1" x14ac:dyDescent="0.3">
      <c r="A120" s="1315"/>
      <c r="B120" s="1325"/>
      <c r="C120" s="899"/>
      <c r="D120" s="899"/>
      <c r="E120" s="899"/>
      <c r="F120" s="899"/>
      <c r="G120" s="1326"/>
      <c r="H120" s="914"/>
      <c r="I120" s="874"/>
      <c r="J120" s="1125"/>
      <c r="K120" s="1126"/>
      <c r="L120" s="807"/>
      <c r="M120" s="808"/>
      <c r="N120" s="808"/>
      <c r="O120" s="808"/>
      <c r="P120" s="808"/>
      <c r="Q120" s="1333"/>
      <c r="R120" s="1352"/>
      <c r="S120" s="1353"/>
      <c r="T120" s="1396"/>
      <c r="U120" s="1351"/>
      <c r="V120" s="253"/>
      <c r="W120" s="38"/>
      <c r="X120" s="38"/>
      <c r="Y120" s="40"/>
      <c r="Z120" s="43"/>
      <c r="AA120" s="44"/>
      <c r="AB120" s="44">
        <f t="shared" si="1"/>
        <v>0</v>
      </c>
      <c r="AC120" s="38"/>
      <c r="AD120" s="38"/>
      <c r="AE120" s="38"/>
      <c r="AF120" s="38"/>
    </row>
    <row r="121" spans="1:32" ht="15" customHeight="1" thickBot="1" x14ac:dyDescent="0.3">
      <c r="A121" s="1315"/>
      <c r="B121" s="1325"/>
      <c r="C121" s="899"/>
      <c r="D121" s="899"/>
      <c r="E121" s="899"/>
      <c r="F121" s="899"/>
      <c r="G121" s="1326"/>
      <c r="H121" s="914"/>
      <c r="I121" s="874"/>
      <c r="J121" s="1125"/>
      <c r="K121" s="1126"/>
      <c r="L121" s="807"/>
      <c r="M121" s="808"/>
      <c r="N121" s="808"/>
      <c r="O121" s="808"/>
      <c r="P121" s="808"/>
      <c r="Q121" s="1333"/>
      <c r="R121" s="1352"/>
      <c r="S121" s="1353"/>
      <c r="T121" s="1396"/>
      <c r="U121" s="1351"/>
      <c r="V121" s="253"/>
      <c r="W121" s="38"/>
      <c r="X121" s="38"/>
      <c r="Y121" s="40"/>
      <c r="Z121" s="43"/>
      <c r="AA121" s="44"/>
      <c r="AB121" s="44">
        <f t="shared" si="1"/>
        <v>0</v>
      </c>
      <c r="AC121" s="38"/>
      <c r="AD121" s="38"/>
      <c r="AE121" s="38"/>
      <c r="AF121" s="38"/>
    </row>
    <row r="122" spans="1:32" ht="15" customHeight="1" thickBot="1" x14ac:dyDescent="0.3">
      <c r="A122" s="1315"/>
      <c r="B122" s="1325"/>
      <c r="C122" s="899"/>
      <c r="D122" s="899"/>
      <c r="E122" s="899"/>
      <c r="F122" s="899"/>
      <c r="G122" s="1326"/>
      <c r="H122" s="914"/>
      <c r="I122" s="874"/>
      <c r="J122" s="1125"/>
      <c r="K122" s="1126"/>
      <c r="L122" s="807"/>
      <c r="M122" s="808"/>
      <c r="N122" s="808"/>
      <c r="O122" s="808"/>
      <c r="P122" s="808"/>
      <c r="Q122" s="1333" t="s">
        <v>107</v>
      </c>
      <c r="R122" s="1352"/>
      <c r="S122" s="1353"/>
      <c r="T122" s="1396"/>
      <c r="U122" s="1351"/>
      <c r="V122" s="38">
        <f>IF(AND(Q122="ja",R122=""),1,0)</f>
        <v>0</v>
      </c>
      <c r="W122" s="38"/>
      <c r="X122" s="38"/>
      <c r="Y122" s="40"/>
      <c r="Z122" s="43"/>
      <c r="AA122" s="44"/>
      <c r="AB122" s="44">
        <f t="shared" si="1"/>
        <v>0</v>
      </c>
      <c r="AC122" s="38"/>
      <c r="AD122" s="38"/>
      <c r="AE122" s="38"/>
      <c r="AF122" s="38"/>
    </row>
    <row r="123" spans="1:32" ht="15" customHeight="1" thickBot="1" x14ac:dyDescent="0.3">
      <c r="A123" s="1315"/>
      <c r="B123" s="1327"/>
      <c r="C123" s="1328"/>
      <c r="D123" s="1328"/>
      <c r="E123" s="1328"/>
      <c r="F123" s="1328"/>
      <c r="G123" s="1329"/>
      <c r="H123" s="996"/>
      <c r="I123" s="874"/>
      <c r="J123" s="1125"/>
      <c r="K123" s="1126"/>
      <c r="L123" s="807"/>
      <c r="M123" s="808"/>
      <c r="N123" s="808"/>
      <c r="O123" s="808"/>
      <c r="P123" s="808"/>
      <c r="Q123" s="1333"/>
      <c r="R123" s="1352"/>
      <c r="S123" s="1353"/>
      <c r="T123" s="1396"/>
      <c r="U123" s="1351"/>
      <c r="V123" s="38"/>
      <c r="W123" s="38"/>
      <c r="X123" s="38"/>
      <c r="Y123" s="40"/>
      <c r="Z123" s="43"/>
      <c r="AA123" s="44"/>
      <c r="AB123" s="44">
        <f t="shared" si="1"/>
        <v>0</v>
      </c>
      <c r="AC123" s="38"/>
      <c r="AD123" s="38"/>
      <c r="AE123" s="38"/>
      <c r="AF123" s="38"/>
    </row>
    <row r="124" spans="1:32" ht="15" customHeight="1" thickBot="1" x14ac:dyDescent="0.3">
      <c r="A124" s="1315"/>
      <c r="B124" s="1334" t="s">
        <v>419</v>
      </c>
      <c r="C124" s="1335"/>
      <c r="D124" s="1335"/>
      <c r="E124" s="1335"/>
      <c r="F124" s="1335"/>
      <c r="G124" s="1336"/>
      <c r="H124" s="913" t="s">
        <v>107</v>
      </c>
      <c r="I124" s="874"/>
      <c r="J124" s="1125"/>
      <c r="K124" s="1126"/>
      <c r="L124" s="807"/>
      <c r="M124" s="808"/>
      <c r="N124" s="808"/>
      <c r="O124" s="808"/>
      <c r="P124" s="808"/>
      <c r="Q124" s="1333"/>
      <c r="R124" s="1352"/>
      <c r="S124" s="1353"/>
      <c r="T124" s="1396"/>
      <c r="U124" s="1351"/>
      <c r="V124" s="38"/>
      <c r="W124" s="38"/>
      <c r="X124" s="38"/>
      <c r="Y124" s="40">
        <v>2.5000000000000001E-3</v>
      </c>
      <c r="Z124" s="43">
        <f>IF(H124="ja",Y124,0)</f>
        <v>0</v>
      </c>
      <c r="AA124" s="43"/>
      <c r="AB124" s="44">
        <f t="shared" si="1"/>
        <v>0</v>
      </c>
      <c r="AC124" s="38"/>
      <c r="AD124" s="38"/>
      <c r="AE124" s="38"/>
      <c r="AF124" s="38"/>
    </row>
    <row r="125" spans="1:32" ht="15" customHeight="1" thickBot="1" x14ac:dyDescent="0.3">
      <c r="A125" s="1315"/>
      <c r="B125" s="1325"/>
      <c r="C125" s="899"/>
      <c r="D125" s="899"/>
      <c r="E125" s="899"/>
      <c r="F125" s="899"/>
      <c r="G125" s="1326"/>
      <c r="H125" s="914"/>
      <c r="I125" s="874"/>
      <c r="J125" s="1125"/>
      <c r="K125" s="1126"/>
      <c r="L125" s="1337"/>
      <c r="M125" s="1338"/>
      <c r="N125" s="1338"/>
      <c r="O125" s="1338"/>
      <c r="P125" s="1338"/>
      <c r="Q125" s="1333" t="s">
        <v>107</v>
      </c>
      <c r="R125" s="1352"/>
      <c r="S125" s="1353"/>
      <c r="T125" s="1396"/>
      <c r="U125" s="1351"/>
      <c r="V125" s="38">
        <f>IF(AND(Q125="ja",R125=""),1,0)</f>
        <v>0</v>
      </c>
      <c r="W125" s="38"/>
      <c r="X125" s="38"/>
      <c r="Y125" s="40"/>
      <c r="Z125" s="43"/>
      <c r="AA125" s="44"/>
      <c r="AB125" s="44">
        <f t="shared" si="1"/>
        <v>0</v>
      </c>
      <c r="AC125" s="38"/>
      <c r="AD125" s="38"/>
      <c r="AE125" s="38"/>
      <c r="AF125" s="38"/>
    </row>
    <row r="126" spans="1:32" ht="15" customHeight="1" thickBot="1" x14ac:dyDescent="0.3">
      <c r="A126" s="1315"/>
      <c r="B126" s="1327"/>
      <c r="C126" s="1328"/>
      <c r="D126" s="1328"/>
      <c r="E126" s="1328"/>
      <c r="F126" s="1328"/>
      <c r="G126" s="1329"/>
      <c r="H126" s="996"/>
      <c r="I126" s="875"/>
      <c r="J126" s="1127"/>
      <c r="K126" s="1128"/>
      <c r="L126" s="1339"/>
      <c r="M126" s="1340"/>
      <c r="N126" s="1340"/>
      <c r="O126" s="1340"/>
      <c r="P126" s="1340"/>
      <c r="Q126" s="1333"/>
      <c r="R126" s="1352"/>
      <c r="S126" s="1353"/>
      <c r="T126" s="1397"/>
      <c r="U126" s="1351"/>
      <c r="V126" s="253"/>
      <c r="W126" s="38"/>
      <c r="X126" s="38"/>
      <c r="Y126" s="40"/>
      <c r="Z126" s="43"/>
      <c r="AA126" s="44"/>
      <c r="AB126" s="44">
        <f t="shared" si="1"/>
        <v>0</v>
      </c>
      <c r="AC126" s="38"/>
      <c r="AD126" s="38"/>
      <c r="AE126" s="38"/>
      <c r="AF126" s="38"/>
    </row>
    <row r="127" spans="1:32" ht="14.55" thickBot="1" x14ac:dyDescent="0.3">
      <c r="B127" s="1371" t="s">
        <v>216</v>
      </c>
      <c r="C127" s="1372"/>
      <c r="D127" s="1372"/>
      <c r="E127" s="1372"/>
      <c r="F127" s="1372"/>
      <c r="G127" s="1372"/>
      <c r="H127" s="251"/>
      <c r="I127" s="793"/>
      <c r="J127" s="794"/>
      <c r="K127" s="794"/>
      <c r="L127" s="1410">
        <f>SUM(R119:S126)</f>
        <v>0</v>
      </c>
      <c r="M127" s="1411"/>
      <c r="N127" s="1411"/>
      <c r="O127" s="1411"/>
      <c r="P127" s="1411"/>
      <c r="Q127" s="252"/>
      <c r="R127" s="1363"/>
      <c r="S127" s="1364"/>
      <c r="U127" s="249"/>
      <c r="V127" s="253"/>
      <c r="W127" s="38"/>
      <c r="X127" s="38"/>
      <c r="Y127" s="40"/>
      <c r="Z127" s="98">
        <f>SUM(Z119:Z124)</f>
        <v>0</v>
      </c>
      <c r="AA127" s="44"/>
      <c r="AB127" s="44">
        <f t="shared" si="1"/>
        <v>0</v>
      </c>
      <c r="AC127" s="38"/>
      <c r="AD127" s="38"/>
      <c r="AE127" s="38"/>
      <c r="AF127" s="38"/>
    </row>
    <row r="128" spans="1:32" ht="14.25" customHeight="1" x14ac:dyDescent="0.25">
      <c r="A128" s="1418" t="s">
        <v>218</v>
      </c>
      <c r="B128" s="1341" t="s">
        <v>420</v>
      </c>
      <c r="C128" s="1342"/>
      <c r="D128" s="1342"/>
      <c r="E128" s="1342"/>
      <c r="F128" s="1342"/>
      <c r="G128" s="1343"/>
      <c r="H128" s="995" t="s">
        <v>107</v>
      </c>
      <c r="I128" s="1412">
        <f>Z128</f>
        <v>0</v>
      </c>
      <c r="J128" s="1414">
        <f>I115*I128</f>
        <v>0</v>
      </c>
      <c r="K128" s="1415"/>
      <c r="L128" s="807" t="s">
        <v>421</v>
      </c>
      <c r="M128" s="808"/>
      <c r="N128" s="808"/>
      <c r="O128" s="808"/>
      <c r="P128" s="808"/>
      <c r="Q128" s="798" t="s">
        <v>107</v>
      </c>
      <c r="R128" s="1352"/>
      <c r="S128" s="1353"/>
      <c r="T128" s="1406" t="str">
        <f>IFERROR(IF((VLOOKUP(U128,Überblick!$M$124:$N$132,2))="ja","ja","nein"),"")</f>
        <v/>
      </c>
      <c r="U128" s="1408"/>
      <c r="V128" s="38">
        <f>IF(AND(Q128="ja",R128=""),1,0)</f>
        <v>0</v>
      </c>
      <c r="W128" s="38"/>
      <c r="X128" s="38"/>
      <c r="Y128" s="40">
        <v>4.4999999999999998E-2</v>
      </c>
      <c r="Z128" s="43">
        <f>IF(H128="ja",Y128,0)</f>
        <v>0</v>
      </c>
      <c r="AA128" s="44"/>
      <c r="AB128" s="44">
        <f t="shared" si="1"/>
        <v>0</v>
      </c>
      <c r="AC128" s="38">
        <f>IF(AND(I128+SUM(V128:V132)&gt;0,U128=""),1,0)</f>
        <v>0</v>
      </c>
      <c r="AD128" s="38"/>
      <c r="AE128" s="38"/>
      <c r="AF128" s="38"/>
    </row>
    <row r="129" spans="1:32" ht="14.25" customHeight="1" x14ac:dyDescent="0.25">
      <c r="A129" s="1418"/>
      <c r="B129" s="1325"/>
      <c r="C129" s="899"/>
      <c r="D129" s="899"/>
      <c r="E129" s="899"/>
      <c r="F129" s="899"/>
      <c r="G129" s="1326"/>
      <c r="H129" s="914"/>
      <c r="I129" s="1413"/>
      <c r="J129" s="1416"/>
      <c r="K129" s="1417"/>
      <c r="L129" s="807"/>
      <c r="M129" s="808"/>
      <c r="N129" s="808"/>
      <c r="O129" s="808"/>
      <c r="P129" s="808"/>
      <c r="Q129" s="798"/>
      <c r="R129" s="1352"/>
      <c r="S129" s="1353"/>
      <c r="T129" s="1407"/>
      <c r="U129" s="1409"/>
      <c r="V129" s="38"/>
      <c r="W129" s="38"/>
      <c r="X129" s="38"/>
      <c r="Y129" s="40"/>
      <c r="Z129" s="43"/>
      <c r="AA129" s="44"/>
      <c r="AB129" s="44">
        <f t="shared" si="1"/>
        <v>0</v>
      </c>
      <c r="AC129" s="38"/>
      <c r="AD129" s="38"/>
      <c r="AE129" s="38"/>
      <c r="AF129" s="38"/>
    </row>
    <row r="130" spans="1:32" ht="14.25" customHeight="1" x14ac:dyDescent="0.25">
      <c r="A130" s="1418"/>
      <c r="B130" s="1325"/>
      <c r="C130" s="899"/>
      <c r="D130" s="899"/>
      <c r="E130" s="899"/>
      <c r="F130" s="899"/>
      <c r="G130" s="1326"/>
      <c r="H130" s="914"/>
      <c r="I130" s="1413"/>
      <c r="J130" s="1416"/>
      <c r="K130" s="1417"/>
      <c r="L130" s="807"/>
      <c r="M130" s="808"/>
      <c r="N130" s="808"/>
      <c r="O130" s="808"/>
      <c r="P130" s="808"/>
      <c r="Q130" s="798"/>
      <c r="R130" s="1352"/>
      <c r="S130" s="1353"/>
      <c r="T130" s="1407"/>
      <c r="U130" s="1409"/>
      <c r="V130" s="38"/>
      <c r="W130" s="38"/>
      <c r="X130" s="38"/>
      <c r="Y130" s="40"/>
      <c r="Z130" s="43"/>
      <c r="AA130" s="44"/>
      <c r="AB130" s="44">
        <f t="shared" si="1"/>
        <v>0</v>
      </c>
      <c r="AC130" s="38"/>
      <c r="AD130" s="38"/>
      <c r="AE130" s="38"/>
      <c r="AF130" s="38"/>
    </row>
    <row r="131" spans="1:32" ht="14.25" customHeight="1" x14ac:dyDescent="0.25">
      <c r="A131" s="1418"/>
      <c r="B131" s="1325"/>
      <c r="C131" s="899"/>
      <c r="D131" s="899"/>
      <c r="E131" s="899"/>
      <c r="F131" s="899"/>
      <c r="G131" s="1326"/>
      <c r="H131" s="914"/>
      <c r="I131" s="1413"/>
      <c r="J131" s="1416"/>
      <c r="K131" s="1417"/>
      <c r="L131" s="1337" t="s">
        <v>422</v>
      </c>
      <c r="M131" s="1338"/>
      <c r="N131" s="1338"/>
      <c r="O131" s="1338"/>
      <c r="P131" s="1338"/>
      <c r="Q131" s="798" t="s">
        <v>107</v>
      </c>
      <c r="R131" s="1352"/>
      <c r="S131" s="1353"/>
      <c r="T131" s="1407"/>
      <c r="U131" s="1409"/>
      <c r="V131" s="38">
        <f>IF(AND(Q131="ja",R131=""),1,0)</f>
        <v>0</v>
      </c>
      <c r="W131" s="38"/>
      <c r="X131" s="38"/>
      <c r="Y131" s="40"/>
      <c r="Z131" s="43"/>
      <c r="AA131" s="44"/>
      <c r="AB131" s="44">
        <f t="shared" si="1"/>
        <v>0</v>
      </c>
      <c r="AC131" s="38"/>
      <c r="AD131" s="38"/>
      <c r="AE131" s="38"/>
      <c r="AF131" s="38"/>
    </row>
    <row r="132" spans="1:32" ht="14.25" customHeight="1" x14ac:dyDescent="0.25">
      <c r="A132" s="1418"/>
      <c r="B132" s="1327"/>
      <c r="C132" s="1328"/>
      <c r="D132" s="1328"/>
      <c r="E132" s="1328"/>
      <c r="F132" s="1328"/>
      <c r="G132" s="1329"/>
      <c r="H132" s="996"/>
      <c r="I132" s="1413"/>
      <c r="J132" s="1416"/>
      <c r="K132" s="1417"/>
      <c r="L132" s="1337"/>
      <c r="M132" s="1338"/>
      <c r="N132" s="1338"/>
      <c r="O132" s="1338"/>
      <c r="P132" s="1338"/>
      <c r="Q132" s="798"/>
      <c r="R132" s="1352"/>
      <c r="S132" s="1353"/>
      <c r="T132" s="1407"/>
      <c r="U132" s="1409"/>
      <c r="V132" s="38"/>
      <c r="W132" s="38"/>
      <c r="X132" s="38"/>
      <c r="Y132" s="40"/>
      <c r="Z132" s="43"/>
      <c r="AA132" s="44"/>
      <c r="AB132" s="44">
        <f t="shared" si="1"/>
        <v>0</v>
      </c>
      <c r="AC132" s="38"/>
      <c r="AD132" s="38"/>
      <c r="AE132" s="38"/>
      <c r="AF132" s="38"/>
    </row>
    <row r="133" spans="1:32" ht="14.25" customHeight="1" x14ac:dyDescent="0.25">
      <c r="A133" s="1418" t="s">
        <v>221</v>
      </c>
      <c r="B133" s="1334" t="s">
        <v>423</v>
      </c>
      <c r="C133" s="1335"/>
      <c r="D133" s="1335"/>
      <c r="E133" s="1335"/>
      <c r="F133" s="1335"/>
      <c r="G133" s="1336"/>
      <c r="H133" s="913" t="s">
        <v>107</v>
      </c>
      <c r="I133" s="1413">
        <f>Z133</f>
        <v>0</v>
      </c>
      <c r="J133" s="1416">
        <f>I133*I115</f>
        <v>0</v>
      </c>
      <c r="K133" s="1417"/>
      <c r="L133" s="1404" t="s">
        <v>424</v>
      </c>
      <c r="M133" s="1405"/>
      <c r="N133" s="1405"/>
      <c r="O133" s="1405"/>
      <c r="P133" s="1405"/>
      <c r="Q133" s="823" t="s">
        <v>107</v>
      </c>
      <c r="R133" s="1419"/>
      <c r="S133" s="1420"/>
      <c r="T133" s="1407" t="str">
        <f>IFERROR(IF((VLOOKUP(U133,Überblick!$M$124:$N$132,2))="ja","ja","nein"),"")</f>
        <v/>
      </c>
      <c r="U133" s="1409"/>
      <c r="V133" s="38">
        <f>IF(AND(Q133="ja",R133=""),1,0)</f>
        <v>0</v>
      </c>
      <c r="W133" s="38"/>
      <c r="X133" s="38"/>
      <c r="Y133" s="40">
        <v>8.5000000000000006E-2</v>
      </c>
      <c r="Z133" s="43">
        <f>IF(H133="ja",Y133,0)</f>
        <v>0</v>
      </c>
      <c r="AA133" s="44"/>
      <c r="AB133" s="44">
        <f t="shared" si="1"/>
        <v>0</v>
      </c>
      <c r="AC133" s="38">
        <f>IF(AND(I133+SUM(V133:V142)&gt;0,U133=""),1,0)</f>
        <v>0</v>
      </c>
      <c r="AD133" s="38"/>
      <c r="AE133" s="38"/>
      <c r="AF133" s="38"/>
    </row>
    <row r="134" spans="1:32" ht="14.25" customHeight="1" x14ac:dyDescent="0.25">
      <c r="A134" s="1418"/>
      <c r="B134" s="1325"/>
      <c r="C134" s="899"/>
      <c r="D134" s="899"/>
      <c r="E134" s="899"/>
      <c r="F134" s="899"/>
      <c r="G134" s="1326"/>
      <c r="H134" s="914"/>
      <c r="I134" s="1413"/>
      <c r="J134" s="1416"/>
      <c r="K134" s="1417"/>
      <c r="L134" s="807"/>
      <c r="M134" s="808"/>
      <c r="N134" s="808"/>
      <c r="O134" s="808"/>
      <c r="P134" s="808"/>
      <c r="Q134" s="798"/>
      <c r="R134" s="1352"/>
      <c r="S134" s="1353"/>
      <c r="T134" s="1407"/>
      <c r="U134" s="1409"/>
      <c r="V134" s="38"/>
      <c r="W134" s="38"/>
      <c r="X134" s="38"/>
      <c r="Y134" s="38"/>
      <c r="Z134" s="38"/>
      <c r="AA134" s="44"/>
      <c r="AB134" s="44">
        <f t="shared" si="1"/>
        <v>0</v>
      </c>
      <c r="AC134" s="38"/>
      <c r="AD134" s="38"/>
      <c r="AE134" s="38"/>
      <c r="AF134" s="38"/>
    </row>
    <row r="135" spans="1:32" ht="14.25" customHeight="1" x14ac:dyDescent="0.25">
      <c r="A135" s="1418"/>
      <c r="B135" s="1325"/>
      <c r="C135" s="899"/>
      <c r="D135" s="899"/>
      <c r="E135" s="899"/>
      <c r="F135" s="899"/>
      <c r="G135" s="1326"/>
      <c r="H135" s="914"/>
      <c r="I135" s="1413"/>
      <c r="J135" s="1416"/>
      <c r="K135" s="1417"/>
      <c r="L135" s="807"/>
      <c r="M135" s="808"/>
      <c r="N135" s="808"/>
      <c r="O135" s="808"/>
      <c r="P135" s="808"/>
      <c r="Q135" s="798"/>
      <c r="R135" s="1352"/>
      <c r="S135" s="1353"/>
      <c r="T135" s="1407"/>
      <c r="U135" s="1409"/>
      <c r="V135" s="38"/>
      <c r="W135" s="38"/>
      <c r="X135" s="38"/>
      <c r="Y135" s="38"/>
      <c r="Z135" s="38"/>
      <c r="AA135" s="44"/>
      <c r="AB135" s="44">
        <f t="shared" si="1"/>
        <v>0</v>
      </c>
      <c r="AC135" s="38"/>
      <c r="AD135" s="38"/>
      <c r="AE135" s="38"/>
      <c r="AF135" s="38"/>
    </row>
    <row r="136" spans="1:32" ht="14.25" customHeight="1" x14ac:dyDescent="0.25">
      <c r="A136" s="1418"/>
      <c r="B136" s="1325"/>
      <c r="C136" s="899"/>
      <c r="D136" s="899"/>
      <c r="E136" s="899"/>
      <c r="F136" s="899"/>
      <c r="G136" s="1326"/>
      <c r="H136" s="914"/>
      <c r="I136" s="1413"/>
      <c r="J136" s="1416"/>
      <c r="K136" s="1417"/>
      <c r="L136" s="807"/>
      <c r="M136" s="808"/>
      <c r="N136" s="808"/>
      <c r="O136" s="808"/>
      <c r="P136" s="808"/>
      <c r="Q136" s="798" t="s">
        <v>107</v>
      </c>
      <c r="R136" s="1352"/>
      <c r="S136" s="1353"/>
      <c r="T136" s="1407"/>
      <c r="U136" s="1409"/>
      <c r="V136" s="38">
        <f>IF(AND(Q136="ja",R136=""),1,0)</f>
        <v>0</v>
      </c>
      <c r="W136" s="38"/>
      <c r="X136" s="38"/>
      <c r="Y136" s="38"/>
      <c r="Z136" s="38"/>
      <c r="AA136" s="44"/>
      <c r="AB136" s="44">
        <f t="shared" si="1"/>
        <v>0</v>
      </c>
      <c r="AC136" s="38"/>
      <c r="AD136" s="38"/>
      <c r="AE136" s="38"/>
      <c r="AF136" s="38"/>
    </row>
    <row r="137" spans="1:32" ht="14.25" customHeight="1" x14ac:dyDescent="0.25">
      <c r="A137" s="1418"/>
      <c r="B137" s="1325"/>
      <c r="C137" s="899"/>
      <c r="D137" s="899"/>
      <c r="E137" s="899"/>
      <c r="F137" s="899"/>
      <c r="G137" s="1326"/>
      <c r="H137" s="914"/>
      <c r="I137" s="1413"/>
      <c r="J137" s="1416"/>
      <c r="K137" s="1417"/>
      <c r="L137" s="807"/>
      <c r="M137" s="808"/>
      <c r="N137" s="808"/>
      <c r="O137" s="808"/>
      <c r="P137" s="808"/>
      <c r="Q137" s="798"/>
      <c r="R137" s="1352"/>
      <c r="S137" s="1353"/>
      <c r="T137" s="1407"/>
      <c r="U137" s="1409"/>
      <c r="V137" s="38"/>
      <c r="W137" s="38"/>
      <c r="X137" s="38"/>
      <c r="Y137" s="40"/>
      <c r="Z137" s="43"/>
      <c r="AA137" s="44"/>
      <c r="AB137" s="44">
        <f t="shared" si="1"/>
        <v>0</v>
      </c>
      <c r="AC137" s="38"/>
      <c r="AD137" s="38"/>
      <c r="AE137" s="38"/>
      <c r="AF137" s="38"/>
    </row>
    <row r="138" spans="1:32" ht="14.25" customHeight="1" x14ac:dyDescent="0.25">
      <c r="A138" s="1418"/>
      <c r="B138" s="1325"/>
      <c r="C138" s="899"/>
      <c r="D138" s="899"/>
      <c r="E138" s="899"/>
      <c r="F138" s="899"/>
      <c r="G138" s="1326"/>
      <c r="H138" s="914"/>
      <c r="I138" s="1413"/>
      <c r="J138" s="1416"/>
      <c r="K138" s="1417"/>
      <c r="L138" s="807"/>
      <c r="M138" s="808"/>
      <c r="N138" s="808"/>
      <c r="O138" s="808"/>
      <c r="P138" s="808"/>
      <c r="Q138" s="798"/>
      <c r="R138" s="1352"/>
      <c r="S138" s="1353"/>
      <c r="T138" s="1407"/>
      <c r="U138" s="1409"/>
      <c r="V138" s="38"/>
      <c r="W138" s="38"/>
      <c r="X138" s="38"/>
      <c r="Y138" s="40"/>
      <c r="Z138" s="43"/>
      <c r="AA138" s="44"/>
      <c r="AB138" s="44">
        <f t="shared" si="1"/>
        <v>0</v>
      </c>
      <c r="AC138" s="38"/>
      <c r="AD138" s="38"/>
      <c r="AE138" s="38"/>
      <c r="AF138" s="38"/>
    </row>
    <row r="139" spans="1:32" ht="14.25" customHeight="1" x14ac:dyDescent="0.25">
      <c r="A139" s="1418"/>
      <c r="B139" s="1325"/>
      <c r="C139" s="899"/>
      <c r="D139" s="899"/>
      <c r="E139" s="899"/>
      <c r="F139" s="899"/>
      <c r="G139" s="1326"/>
      <c r="H139" s="914"/>
      <c r="I139" s="1413"/>
      <c r="J139" s="1416"/>
      <c r="K139" s="1417"/>
      <c r="L139" s="807"/>
      <c r="M139" s="808"/>
      <c r="N139" s="808"/>
      <c r="O139" s="808"/>
      <c r="P139" s="808"/>
      <c r="Q139" s="798" t="s">
        <v>107</v>
      </c>
      <c r="R139" s="1352"/>
      <c r="S139" s="1353"/>
      <c r="T139" s="1407"/>
      <c r="U139" s="1409"/>
      <c r="V139" s="38">
        <f>IF(AND(Q139="ja",R139=""),1,0)</f>
        <v>0</v>
      </c>
      <c r="W139" s="38"/>
      <c r="X139" s="38"/>
      <c r="Y139" s="40"/>
      <c r="Z139" s="43"/>
      <c r="AA139" s="44"/>
      <c r="AB139" s="44">
        <f t="shared" si="1"/>
        <v>0</v>
      </c>
      <c r="AC139" s="38"/>
      <c r="AD139" s="38"/>
      <c r="AE139" s="38"/>
      <c r="AF139" s="38"/>
    </row>
    <row r="140" spans="1:32" ht="14.25" customHeight="1" x14ac:dyDescent="0.25">
      <c r="A140" s="1418"/>
      <c r="B140" s="1325"/>
      <c r="C140" s="899"/>
      <c r="D140" s="899"/>
      <c r="E140" s="899"/>
      <c r="F140" s="899"/>
      <c r="G140" s="1326"/>
      <c r="H140" s="914"/>
      <c r="I140" s="1413"/>
      <c r="J140" s="1416"/>
      <c r="K140" s="1417"/>
      <c r="L140" s="807"/>
      <c r="M140" s="808"/>
      <c r="N140" s="808"/>
      <c r="O140" s="808"/>
      <c r="P140" s="808"/>
      <c r="Q140" s="798"/>
      <c r="R140" s="1352"/>
      <c r="S140" s="1353"/>
      <c r="T140" s="1407"/>
      <c r="U140" s="1409"/>
      <c r="V140" s="38"/>
      <c r="W140" s="38"/>
      <c r="X140" s="38"/>
      <c r="Y140" s="40"/>
      <c r="Z140" s="43"/>
      <c r="AA140" s="44"/>
      <c r="AB140" s="44">
        <f t="shared" si="1"/>
        <v>0</v>
      </c>
      <c r="AC140" s="38"/>
      <c r="AD140" s="38"/>
      <c r="AE140" s="38"/>
      <c r="AF140" s="38"/>
    </row>
    <row r="141" spans="1:32" ht="14.25" customHeight="1" x14ac:dyDescent="0.25">
      <c r="A141" s="1418"/>
      <c r="B141" s="1325"/>
      <c r="C141" s="899"/>
      <c r="D141" s="899"/>
      <c r="E141" s="899"/>
      <c r="F141" s="899"/>
      <c r="G141" s="1326"/>
      <c r="H141" s="914"/>
      <c r="I141" s="1413"/>
      <c r="J141" s="1416"/>
      <c r="K141" s="1417"/>
      <c r="L141" s="807"/>
      <c r="M141" s="808"/>
      <c r="N141" s="808"/>
      <c r="O141" s="808"/>
      <c r="P141" s="808"/>
      <c r="Q141" s="798"/>
      <c r="R141" s="1352"/>
      <c r="S141" s="1353"/>
      <c r="T141" s="1407"/>
      <c r="U141" s="1409"/>
      <c r="V141" s="38"/>
      <c r="W141" s="38"/>
      <c r="X141" s="38"/>
      <c r="Y141" s="40"/>
      <c r="Z141" s="43"/>
      <c r="AA141" s="44"/>
      <c r="AB141" s="44">
        <f t="shared" si="1"/>
        <v>0</v>
      </c>
      <c r="AC141" s="38"/>
      <c r="AD141" s="38"/>
      <c r="AE141" s="38"/>
      <c r="AF141" s="38"/>
    </row>
    <row r="142" spans="1:32" ht="14.25" customHeight="1" x14ac:dyDescent="0.25">
      <c r="A142" s="1418"/>
      <c r="B142" s="1327"/>
      <c r="C142" s="1328"/>
      <c r="D142" s="1328"/>
      <c r="E142" s="1328"/>
      <c r="F142" s="1328"/>
      <c r="G142" s="1329"/>
      <c r="H142" s="996"/>
      <c r="I142" s="1413"/>
      <c r="J142" s="1416"/>
      <c r="K142" s="1417"/>
      <c r="L142" s="1348"/>
      <c r="M142" s="1349"/>
      <c r="N142" s="1349"/>
      <c r="O142" s="1349"/>
      <c r="P142" s="1349"/>
      <c r="Q142" s="244" t="s">
        <v>107</v>
      </c>
      <c r="R142" s="1352"/>
      <c r="S142" s="1353"/>
      <c r="T142" s="1407"/>
      <c r="U142" s="1409"/>
      <c r="V142" s="38">
        <f>IF(AND(Q142="ja",R142=""),1,0)</f>
        <v>0</v>
      </c>
      <c r="W142" s="38"/>
      <c r="X142" s="38"/>
      <c r="Y142" s="40"/>
      <c r="Z142" s="43"/>
      <c r="AA142" s="44"/>
      <c r="AB142" s="44">
        <f t="shared" si="1"/>
        <v>0</v>
      </c>
      <c r="AC142" s="38"/>
      <c r="AD142" s="38"/>
      <c r="AE142" s="38"/>
      <c r="AF142" s="38"/>
    </row>
    <row r="143" spans="1:32" x14ac:dyDescent="0.25">
      <c r="A143" s="362" t="s">
        <v>224</v>
      </c>
      <c r="B143" s="775" t="s">
        <v>425</v>
      </c>
      <c r="C143" s="776"/>
      <c r="D143" s="776"/>
      <c r="E143" s="776"/>
      <c r="F143" s="776"/>
      <c r="G143" s="777"/>
      <c r="H143" s="233" t="s">
        <v>107</v>
      </c>
      <c r="I143" s="243">
        <f>Z143</f>
        <v>0</v>
      </c>
      <c r="J143" s="1421">
        <f>I143*$I$115</f>
        <v>0</v>
      </c>
      <c r="K143" s="1422"/>
      <c r="L143" s="1348"/>
      <c r="M143" s="1349"/>
      <c r="N143" s="1349"/>
      <c r="O143" s="1349"/>
      <c r="P143" s="1349"/>
      <c r="Q143" s="244" t="s">
        <v>107</v>
      </c>
      <c r="R143" s="1352"/>
      <c r="S143" s="1353"/>
      <c r="T143" s="377" t="str">
        <f>IFERROR(IF((VLOOKUP(U143,Überblick!$M$124:$N$132,2))="ja","ja","nein"),"")</f>
        <v/>
      </c>
      <c r="U143" s="250"/>
      <c r="V143" s="38">
        <f>IF(AND(Q143="ja",R143=""),1,0)</f>
        <v>0</v>
      </c>
      <c r="W143" s="38"/>
      <c r="X143" s="38"/>
      <c r="Y143" s="40">
        <v>0.04</v>
      </c>
      <c r="Z143" s="43">
        <f>IF(H143="ja",Y143,0)</f>
        <v>0</v>
      </c>
      <c r="AA143" s="44"/>
      <c r="AB143" s="44">
        <f t="shared" si="1"/>
        <v>0</v>
      </c>
      <c r="AC143" s="38">
        <f>IF(AND(I143+SUM(V143)&gt;0,U143=""),1,0)</f>
        <v>0</v>
      </c>
      <c r="AD143" s="38"/>
      <c r="AE143" s="38"/>
      <c r="AF143" s="38"/>
    </row>
    <row r="144" spans="1:32" x14ac:dyDescent="0.25">
      <c r="A144" s="362" t="s">
        <v>227</v>
      </c>
      <c r="B144" s="775" t="s">
        <v>426</v>
      </c>
      <c r="C144" s="776"/>
      <c r="D144" s="776"/>
      <c r="E144" s="776"/>
      <c r="F144" s="776"/>
      <c r="G144" s="777"/>
      <c r="H144" s="233" t="s">
        <v>107</v>
      </c>
      <c r="I144" s="243">
        <f>Z144</f>
        <v>0</v>
      </c>
      <c r="J144" s="1421">
        <f>I144*$I$115</f>
        <v>0</v>
      </c>
      <c r="K144" s="1422"/>
      <c r="L144" s="1348"/>
      <c r="M144" s="1349"/>
      <c r="N144" s="1349"/>
      <c r="O144" s="1349"/>
      <c r="P144" s="1349"/>
      <c r="Q144" s="244" t="s">
        <v>107</v>
      </c>
      <c r="R144" s="1352"/>
      <c r="S144" s="1353"/>
      <c r="T144" s="377" t="str">
        <f>IFERROR(IF((VLOOKUP(U144,Überblick!$M$124:$N$132,2))="ja","ja","nein"),"")</f>
        <v/>
      </c>
      <c r="U144" s="250"/>
      <c r="V144" s="38">
        <f>IF(AND(Q144="ja",R144=""),1,0)</f>
        <v>0</v>
      </c>
      <c r="W144" s="38"/>
      <c r="X144" s="38"/>
      <c r="Y144" s="40">
        <v>5.0000000000000001E-3</v>
      </c>
      <c r="Z144" s="43">
        <f>IF(H144="ja",Y144,0)</f>
        <v>0</v>
      </c>
      <c r="AA144" s="44"/>
      <c r="AB144" s="44">
        <f t="shared" si="1"/>
        <v>0</v>
      </c>
      <c r="AC144" s="38">
        <f>IF(AND(I144+SUM(V144)&gt;0,U144=""),1,0)</f>
        <v>0</v>
      </c>
      <c r="AD144" s="38"/>
      <c r="AE144" s="38"/>
      <c r="AF144" s="38"/>
    </row>
    <row r="145" spans="1:32" ht="14.25" customHeight="1" x14ac:dyDescent="0.25">
      <c r="A145" s="1418" t="s">
        <v>228</v>
      </c>
      <c r="B145" s="1334" t="s">
        <v>427</v>
      </c>
      <c r="C145" s="1335"/>
      <c r="D145" s="1335"/>
      <c r="E145" s="1335"/>
      <c r="F145" s="1335"/>
      <c r="G145" s="1336"/>
      <c r="H145" s="913" t="s">
        <v>107</v>
      </c>
      <c r="I145" s="1413">
        <f>Z145</f>
        <v>0</v>
      </c>
      <c r="J145" s="1416">
        <f>I145*I115</f>
        <v>0</v>
      </c>
      <c r="K145" s="1417"/>
      <c r="L145" s="807"/>
      <c r="M145" s="808"/>
      <c r="N145" s="808"/>
      <c r="O145" s="808"/>
      <c r="P145" s="808"/>
      <c r="Q145" s="798" t="s">
        <v>107</v>
      </c>
      <c r="R145" s="1352"/>
      <c r="S145" s="1353"/>
      <c r="T145" s="1407" t="str">
        <f>IFERROR(IF((VLOOKUP(U145,Überblick!$M$124:$N$132,2))="ja","ja","nein"),"")</f>
        <v/>
      </c>
      <c r="U145" s="1409"/>
      <c r="V145" s="38">
        <f>IF(AND(Q145="ja",R145=""),1,0)</f>
        <v>0</v>
      </c>
      <c r="W145" s="38"/>
      <c r="X145" s="38"/>
      <c r="Y145" s="40">
        <v>5.0000000000000001E-3</v>
      </c>
      <c r="Z145" s="43">
        <f>IF(H145="ja",Y145,0)</f>
        <v>0</v>
      </c>
      <c r="AA145" s="44"/>
      <c r="AB145" s="44">
        <f t="shared" si="1"/>
        <v>0</v>
      </c>
      <c r="AC145" s="38">
        <f>IF(AND(I145+SUM(V145:V149)&gt;0,U145=""),1,0)</f>
        <v>0</v>
      </c>
      <c r="AD145" s="38"/>
      <c r="AE145" s="38"/>
      <c r="AF145" s="38"/>
    </row>
    <row r="146" spans="1:32" ht="14.25" customHeight="1" x14ac:dyDescent="0.25">
      <c r="A146" s="1418"/>
      <c r="B146" s="1325"/>
      <c r="C146" s="899"/>
      <c r="D146" s="899"/>
      <c r="E146" s="899"/>
      <c r="F146" s="899"/>
      <c r="G146" s="1326"/>
      <c r="H146" s="914"/>
      <c r="I146" s="1413"/>
      <c r="J146" s="1416"/>
      <c r="K146" s="1417"/>
      <c r="L146" s="807"/>
      <c r="M146" s="808"/>
      <c r="N146" s="808"/>
      <c r="O146" s="808"/>
      <c r="P146" s="808"/>
      <c r="Q146" s="798"/>
      <c r="R146" s="1352"/>
      <c r="S146" s="1353"/>
      <c r="T146" s="1407"/>
      <c r="U146" s="1409"/>
      <c r="V146" s="38"/>
      <c r="W146" s="38"/>
      <c r="X146" s="38"/>
      <c r="Y146" s="38"/>
      <c r="Z146" s="38"/>
      <c r="AA146" s="44"/>
      <c r="AB146" s="44">
        <f t="shared" si="1"/>
        <v>0</v>
      </c>
      <c r="AC146" s="38"/>
      <c r="AD146" s="38"/>
      <c r="AE146" s="38"/>
      <c r="AF146" s="38"/>
    </row>
    <row r="147" spans="1:32" ht="14.25" customHeight="1" x14ac:dyDescent="0.25">
      <c r="A147" s="1418"/>
      <c r="B147" s="1325"/>
      <c r="C147" s="899"/>
      <c r="D147" s="899"/>
      <c r="E147" s="899"/>
      <c r="F147" s="899"/>
      <c r="G147" s="1326"/>
      <c r="H147" s="914"/>
      <c r="I147" s="1413"/>
      <c r="J147" s="1416"/>
      <c r="K147" s="1417"/>
      <c r="L147" s="807"/>
      <c r="M147" s="808"/>
      <c r="N147" s="808"/>
      <c r="O147" s="808"/>
      <c r="P147" s="808"/>
      <c r="Q147" s="798"/>
      <c r="R147" s="1352"/>
      <c r="S147" s="1353"/>
      <c r="T147" s="1407"/>
      <c r="U147" s="1409"/>
      <c r="V147" s="38"/>
      <c r="W147" s="38"/>
      <c r="X147" s="38"/>
      <c r="Y147" s="38"/>
      <c r="Z147" s="38"/>
      <c r="AA147" s="44"/>
      <c r="AB147" s="44">
        <f t="shared" si="1"/>
        <v>0</v>
      </c>
      <c r="AC147" s="38"/>
      <c r="AD147" s="38"/>
      <c r="AE147" s="38"/>
      <c r="AF147" s="38"/>
    </row>
    <row r="148" spans="1:32" ht="14.25" customHeight="1" x14ac:dyDescent="0.25">
      <c r="A148" s="1418"/>
      <c r="B148" s="1325"/>
      <c r="C148" s="899"/>
      <c r="D148" s="899"/>
      <c r="E148" s="899"/>
      <c r="F148" s="899"/>
      <c r="G148" s="1326"/>
      <c r="H148" s="914"/>
      <c r="I148" s="1413"/>
      <c r="J148" s="1416"/>
      <c r="K148" s="1417"/>
      <c r="L148" s="1337"/>
      <c r="M148" s="1338"/>
      <c r="N148" s="1338"/>
      <c r="O148" s="1338"/>
      <c r="P148" s="1338"/>
      <c r="Q148" s="798" t="s">
        <v>107</v>
      </c>
      <c r="R148" s="1352"/>
      <c r="S148" s="1353"/>
      <c r="T148" s="1407"/>
      <c r="U148" s="1409"/>
      <c r="V148" s="38">
        <f>IF(AND(Q148="ja",R148=""),1,0)</f>
        <v>0</v>
      </c>
      <c r="W148" s="38"/>
      <c r="X148" s="38"/>
      <c r="Y148" s="38"/>
      <c r="Z148" s="38"/>
      <c r="AA148" s="44"/>
      <c r="AB148" s="44">
        <f t="shared" si="1"/>
        <v>0</v>
      </c>
      <c r="AC148" s="38"/>
      <c r="AD148" s="38"/>
      <c r="AE148" s="38"/>
      <c r="AF148" s="38"/>
    </row>
    <row r="149" spans="1:32" ht="14.25" customHeight="1" x14ac:dyDescent="0.25">
      <c r="A149" s="1418"/>
      <c r="B149" s="1327"/>
      <c r="C149" s="1328"/>
      <c r="D149" s="1328"/>
      <c r="E149" s="1328"/>
      <c r="F149" s="1328"/>
      <c r="G149" s="1329"/>
      <c r="H149" s="996"/>
      <c r="I149" s="1413"/>
      <c r="J149" s="1416"/>
      <c r="K149" s="1417"/>
      <c r="L149" s="1402"/>
      <c r="M149" s="1403"/>
      <c r="N149" s="1403"/>
      <c r="O149" s="1403"/>
      <c r="P149" s="1403"/>
      <c r="Q149" s="798"/>
      <c r="R149" s="1352"/>
      <c r="S149" s="1353"/>
      <c r="T149" s="1407"/>
      <c r="U149" s="1409"/>
      <c r="V149" s="38"/>
      <c r="W149" s="38"/>
      <c r="X149" s="38"/>
      <c r="Y149" s="40"/>
      <c r="Z149" s="43"/>
      <c r="AA149" s="44"/>
      <c r="AB149" s="44">
        <f t="shared" si="1"/>
        <v>0</v>
      </c>
      <c r="AC149" s="38"/>
      <c r="AD149" s="38"/>
      <c r="AE149" s="38"/>
      <c r="AF149" s="38"/>
    </row>
    <row r="150" spans="1:32" ht="14.25" customHeight="1" x14ac:dyDescent="0.25">
      <c r="A150" s="1418" t="s">
        <v>231</v>
      </c>
      <c r="B150" s="1334" t="s">
        <v>428</v>
      </c>
      <c r="C150" s="1335"/>
      <c r="D150" s="1335"/>
      <c r="E150" s="1335"/>
      <c r="F150" s="1335"/>
      <c r="G150" s="1336"/>
      <c r="H150" s="913" t="s">
        <v>107</v>
      </c>
      <c r="I150" s="1413">
        <f>Z150</f>
        <v>0</v>
      </c>
      <c r="J150" s="1416">
        <f>I150*I115</f>
        <v>0</v>
      </c>
      <c r="K150" s="1417"/>
      <c r="L150" s="807"/>
      <c r="M150" s="808"/>
      <c r="N150" s="808"/>
      <c r="O150" s="808"/>
      <c r="P150" s="808"/>
      <c r="Q150" s="823" t="s">
        <v>107</v>
      </c>
      <c r="R150" s="1352"/>
      <c r="S150" s="1353"/>
      <c r="T150" s="1407" t="str">
        <f>IFERROR(IF((VLOOKUP(U150,Überblick!$M$124:$N$132,2))="ja","ja","nein"),"")</f>
        <v/>
      </c>
      <c r="U150" s="1409"/>
      <c r="V150" s="38">
        <f>IF(AND(Q150="ja",R150=""),1,0)</f>
        <v>0</v>
      </c>
      <c r="W150" s="38"/>
      <c r="X150" s="38"/>
      <c r="Y150" s="40">
        <v>0.04</v>
      </c>
      <c r="Z150" s="43">
        <f>IF(H150="ja",Y150,0)</f>
        <v>0</v>
      </c>
      <c r="AA150" s="43"/>
      <c r="AB150" s="44">
        <f t="shared" si="1"/>
        <v>0</v>
      </c>
      <c r="AC150" s="38">
        <f>IF(AND(I150+SUM(V150:V152)&gt;0,U150=""),1,0)</f>
        <v>0</v>
      </c>
      <c r="AD150" s="38"/>
      <c r="AE150" s="38"/>
      <c r="AF150" s="38"/>
    </row>
    <row r="151" spans="1:32" ht="14.25" customHeight="1" x14ac:dyDescent="0.25">
      <c r="A151" s="1418"/>
      <c r="B151" s="1325"/>
      <c r="C151" s="899"/>
      <c r="D151" s="899"/>
      <c r="E151" s="899"/>
      <c r="F151" s="899"/>
      <c r="G151" s="1326"/>
      <c r="H151" s="914"/>
      <c r="I151" s="1413"/>
      <c r="J151" s="1416"/>
      <c r="K151" s="1417"/>
      <c r="L151" s="807"/>
      <c r="M151" s="808"/>
      <c r="N151" s="808"/>
      <c r="O151" s="808"/>
      <c r="P151" s="808"/>
      <c r="Q151" s="798"/>
      <c r="R151" s="1352"/>
      <c r="S151" s="1353"/>
      <c r="T151" s="1407"/>
      <c r="U151" s="1409"/>
      <c r="V151" s="38"/>
      <c r="W151" s="38"/>
      <c r="X151" s="38"/>
      <c r="Y151" s="40"/>
      <c r="Z151" s="43"/>
      <c r="AA151" s="44"/>
      <c r="AB151" s="44">
        <f t="shared" si="1"/>
        <v>0</v>
      </c>
      <c r="AC151" s="38"/>
      <c r="AD151" s="38"/>
      <c r="AE151" s="38"/>
      <c r="AF151" s="38"/>
    </row>
    <row r="152" spans="1:32" ht="15" customHeight="1" thickBot="1" x14ac:dyDescent="0.3">
      <c r="A152" s="1418"/>
      <c r="B152" s="1327"/>
      <c r="C152" s="1328"/>
      <c r="D152" s="1328"/>
      <c r="E152" s="1328"/>
      <c r="F152" s="1328"/>
      <c r="G152" s="1329"/>
      <c r="H152" s="996"/>
      <c r="I152" s="1427"/>
      <c r="J152" s="1428"/>
      <c r="K152" s="1429"/>
      <c r="L152" s="807"/>
      <c r="M152" s="808"/>
      <c r="N152" s="808"/>
      <c r="O152" s="808"/>
      <c r="P152" s="808"/>
      <c r="Q152" s="798"/>
      <c r="R152" s="1352"/>
      <c r="S152" s="1353"/>
      <c r="T152" s="1423"/>
      <c r="U152" s="1424"/>
      <c r="V152" s="38"/>
      <c r="W152" s="38"/>
      <c r="X152" s="38"/>
      <c r="Y152" s="40"/>
      <c r="Z152" s="43"/>
      <c r="AA152" s="44"/>
      <c r="AB152" s="44">
        <f t="shared" si="1"/>
        <v>0</v>
      </c>
      <c r="AC152" s="38"/>
      <c r="AD152" s="38"/>
      <c r="AE152" s="38"/>
      <c r="AF152" s="38"/>
    </row>
    <row r="153" spans="1:32" ht="14.55" thickBot="1" x14ac:dyDescent="0.3">
      <c r="A153" s="1425" t="s">
        <v>483</v>
      </c>
      <c r="B153" s="1371" t="s">
        <v>484</v>
      </c>
      <c r="C153" s="1372"/>
      <c r="D153" s="1372"/>
      <c r="E153" s="1372"/>
      <c r="F153" s="1372"/>
      <c r="G153" s="1426"/>
      <c r="H153" s="256"/>
      <c r="I153" s="793"/>
      <c r="J153" s="794"/>
      <c r="K153" s="794"/>
      <c r="L153" s="1361">
        <f>SUM(Q128:R152)</f>
        <v>0</v>
      </c>
      <c r="M153" s="1362"/>
      <c r="N153" s="1362"/>
      <c r="O153" s="1362"/>
      <c r="P153" s="1362"/>
      <c r="Q153" s="252"/>
      <c r="R153" s="1363"/>
      <c r="S153" s="1364"/>
      <c r="U153" s="249"/>
      <c r="V153" s="38"/>
      <c r="W153" s="38"/>
      <c r="X153" s="38"/>
      <c r="Y153" s="40"/>
      <c r="Z153" s="98">
        <f>SUM(Z128:Z150)</f>
        <v>0</v>
      </c>
      <c r="AA153" s="44"/>
      <c r="AB153" s="44">
        <f t="shared" si="1"/>
        <v>0</v>
      </c>
      <c r="AC153" s="38"/>
      <c r="AD153" s="38"/>
      <c r="AE153" s="38"/>
      <c r="AF153" s="38"/>
    </row>
    <row r="154" spans="1:32" ht="15" customHeight="1" thickBot="1" x14ac:dyDescent="0.3">
      <c r="A154" s="1425"/>
      <c r="B154" s="1341" t="s">
        <v>429</v>
      </c>
      <c r="C154" s="1342"/>
      <c r="D154" s="1342"/>
      <c r="E154" s="1342"/>
      <c r="F154" s="1342"/>
      <c r="G154" s="1343"/>
      <c r="H154" s="995" t="s">
        <v>107</v>
      </c>
      <c r="I154" s="873">
        <f>Z178</f>
        <v>0</v>
      </c>
      <c r="J154" s="1123">
        <f>I115*I154</f>
        <v>0</v>
      </c>
      <c r="K154" s="1124"/>
      <c r="L154" s="846" t="s">
        <v>430</v>
      </c>
      <c r="M154" s="847"/>
      <c r="N154" s="847"/>
      <c r="O154" s="847"/>
      <c r="P154" s="848"/>
      <c r="Q154" s="838" t="s">
        <v>107</v>
      </c>
      <c r="R154" s="1436"/>
      <c r="S154" s="1437"/>
      <c r="T154" s="1395" t="str">
        <f>IFERROR(IF((VLOOKUP(U154,Überblick!$M$124:$N$132,2))="ja","ja","nein"),"")</f>
        <v/>
      </c>
      <c r="U154" s="1351"/>
      <c r="V154" s="38">
        <f>IF(AND(Q154="ja",R154=""),1,0)</f>
        <v>0</v>
      </c>
      <c r="W154" s="38"/>
      <c r="X154" s="38"/>
      <c r="Y154" s="40">
        <v>2.9000000000000001E-2</v>
      </c>
      <c r="Z154" s="43">
        <f>IF(H154="ja",Y154,0)</f>
        <v>0</v>
      </c>
      <c r="AA154" s="44"/>
      <c r="AB154" s="44">
        <f t="shared" si="1"/>
        <v>0</v>
      </c>
      <c r="AC154" s="38">
        <f>IF(AND(I154+SUM(V154:V177)&gt;0,U154=""),1,0)</f>
        <v>0</v>
      </c>
      <c r="AD154" s="38"/>
      <c r="AE154" s="38"/>
      <c r="AF154" s="38"/>
    </row>
    <row r="155" spans="1:32" ht="15" customHeight="1" thickBot="1" x14ac:dyDescent="0.3">
      <c r="A155" s="1425"/>
      <c r="B155" s="1325"/>
      <c r="C155" s="899"/>
      <c r="D155" s="899"/>
      <c r="E155" s="899"/>
      <c r="F155" s="899"/>
      <c r="G155" s="1326"/>
      <c r="H155" s="914"/>
      <c r="I155" s="874"/>
      <c r="J155" s="1125"/>
      <c r="K155" s="1126"/>
      <c r="L155" s="849"/>
      <c r="M155" s="850"/>
      <c r="N155" s="850"/>
      <c r="O155" s="850"/>
      <c r="P155" s="851"/>
      <c r="Q155" s="839"/>
      <c r="R155" s="1432"/>
      <c r="S155" s="1433"/>
      <c r="T155" s="1396"/>
      <c r="U155" s="1351"/>
      <c r="V155" s="38"/>
      <c r="W155" s="38"/>
      <c r="X155" s="38"/>
      <c r="Y155" s="40"/>
      <c r="Z155" s="43"/>
      <c r="AA155" s="44"/>
      <c r="AB155" s="44">
        <f t="shared" si="1"/>
        <v>0</v>
      </c>
      <c r="AC155" s="38"/>
      <c r="AD155" s="38"/>
      <c r="AE155" s="38"/>
      <c r="AF155" s="38"/>
    </row>
    <row r="156" spans="1:32" ht="15" customHeight="1" thickBot="1" x14ac:dyDescent="0.3">
      <c r="A156" s="1425"/>
      <c r="B156" s="1327"/>
      <c r="C156" s="1328"/>
      <c r="D156" s="1328"/>
      <c r="E156" s="1328"/>
      <c r="F156" s="1328"/>
      <c r="G156" s="1329"/>
      <c r="H156" s="996"/>
      <c r="I156" s="874"/>
      <c r="J156" s="1125"/>
      <c r="K156" s="1126"/>
      <c r="L156" s="852"/>
      <c r="M156" s="853"/>
      <c r="N156" s="853"/>
      <c r="O156" s="853"/>
      <c r="P156" s="854"/>
      <c r="Q156" s="823"/>
      <c r="R156" s="1434"/>
      <c r="S156" s="1435"/>
      <c r="T156" s="1396"/>
      <c r="U156" s="1351"/>
      <c r="V156" s="38"/>
      <c r="W156" s="38"/>
      <c r="X156" s="38"/>
      <c r="Y156" s="40"/>
      <c r="Z156" s="43"/>
      <c r="AA156" s="44"/>
      <c r="AB156" s="44">
        <f t="shared" si="1"/>
        <v>0</v>
      </c>
      <c r="AC156" s="38"/>
      <c r="AD156" s="38"/>
      <c r="AE156" s="38"/>
      <c r="AF156" s="38"/>
    </row>
    <row r="157" spans="1:32" ht="15" customHeight="1" thickBot="1" x14ac:dyDescent="0.3">
      <c r="A157" s="1425"/>
      <c r="B157" s="1334" t="s">
        <v>431</v>
      </c>
      <c r="C157" s="1335"/>
      <c r="D157" s="1335"/>
      <c r="E157" s="1335"/>
      <c r="F157" s="1335"/>
      <c r="G157" s="1336"/>
      <c r="H157" s="913" t="s">
        <v>107</v>
      </c>
      <c r="I157" s="874"/>
      <c r="J157" s="1125"/>
      <c r="K157" s="1126"/>
      <c r="L157" s="1152" t="s">
        <v>432</v>
      </c>
      <c r="M157" s="1153"/>
      <c r="N157" s="1153"/>
      <c r="O157" s="1153"/>
      <c r="P157" s="1154"/>
      <c r="Q157" s="822" t="s">
        <v>107</v>
      </c>
      <c r="R157" s="1430"/>
      <c r="S157" s="1431"/>
      <c r="T157" s="1396"/>
      <c r="U157" s="1351"/>
      <c r="V157" s="38">
        <f>IF(AND(Q157="ja",R157=""),1,0)</f>
        <v>0</v>
      </c>
      <c r="W157" s="38"/>
      <c r="X157" s="38"/>
      <c r="Y157" s="40">
        <v>3.0499999999999999E-2</v>
      </c>
      <c r="Z157" s="43">
        <f>IF(H157="ja",Y157,0)</f>
        <v>0</v>
      </c>
      <c r="AA157" s="44"/>
      <c r="AB157" s="44">
        <f t="shared" si="1"/>
        <v>0</v>
      </c>
      <c r="AC157" s="38"/>
      <c r="AD157" s="38"/>
      <c r="AE157" s="38"/>
      <c r="AF157" s="38"/>
    </row>
    <row r="158" spans="1:32" ht="15" customHeight="1" thickBot="1" x14ac:dyDescent="0.3">
      <c r="A158" s="1425"/>
      <c r="B158" s="1325"/>
      <c r="C158" s="899"/>
      <c r="D158" s="899"/>
      <c r="E158" s="899"/>
      <c r="F158" s="899"/>
      <c r="G158" s="1326"/>
      <c r="H158" s="914"/>
      <c r="I158" s="874"/>
      <c r="J158" s="1125"/>
      <c r="K158" s="1126"/>
      <c r="L158" s="849"/>
      <c r="M158" s="850"/>
      <c r="N158" s="850"/>
      <c r="O158" s="850"/>
      <c r="P158" s="851"/>
      <c r="Q158" s="839"/>
      <c r="R158" s="1432"/>
      <c r="S158" s="1433"/>
      <c r="T158" s="1396"/>
      <c r="U158" s="1351"/>
      <c r="V158" s="38"/>
      <c r="W158" s="38"/>
      <c r="X158" s="38"/>
      <c r="Y158" s="40"/>
      <c r="Z158" s="43"/>
      <c r="AA158" s="44"/>
      <c r="AB158" s="44">
        <f t="shared" si="1"/>
        <v>0</v>
      </c>
      <c r="AC158" s="38"/>
      <c r="AD158" s="38"/>
      <c r="AE158" s="38"/>
      <c r="AF158" s="38"/>
    </row>
    <row r="159" spans="1:32" ht="15" customHeight="1" thickBot="1" x14ac:dyDescent="0.3">
      <c r="A159" s="1425"/>
      <c r="B159" s="1325"/>
      <c r="C159" s="899"/>
      <c r="D159" s="899"/>
      <c r="E159" s="899"/>
      <c r="F159" s="899"/>
      <c r="G159" s="1326"/>
      <c r="H159" s="914"/>
      <c r="I159" s="874"/>
      <c r="J159" s="1125"/>
      <c r="K159" s="1126"/>
      <c r="L159" s="849"/>
      <c r="M159" s="850"/>
      <c r="N159" s="850"/>
      <c r="O159" s="850"/>
      <c r="P159" s="851"/>
      <c r="Q159" s="839"/>
      <c r="R159" s="1432"/>
      <c r="S159" s="1433"/>
      <c r="T159" s="1396"/>
      <c r="U159" s="1351"/>
      <c r="V159" s="38"/>
      <c r="W159" s="38"/>
      <c r="X159" s="38"/>
      <c r="Y159" s="40"/>
      <c r="Z159" s="43"/>
      <c r="AA159" s="44"/>
      <c r="AB159" s="44">
        <f t="shared" si="1"/>
        <v>0</v>
      </c>
      <c r="AC159" s="38"/>
      <c r="AD159" s="38"/>
      <c r="AE159" s="38"/>
      <c r="AF159" s="38"/>
    </row>
    <row r="160" spans="1:32" ht="15" customHeight="1" thickBot="1" x14ac:dyDescent="0.3">
      <c r="A160" s="1425"/>
      <c r="B160" s="1325"/>
      <c r="C160" s="899"/>
      <c r="D160" s="899"/>
      <c r="E160" s="899"/>
      <c r="F160" s="899"/>
      <c r="G160" s="1326"/>
      <c r="H160" s="914"/>
      <c r="I160" s="874"/>
      <c r="J160" s="1125"/>
      <c r="K160" s="1126"/>
      <c r="L160" s="849"/>
      <c r="M160" s="850"/>
      <c r="N160" s="850"/>
      <c r="O160" s="850"/>
      <c r="P160" s="851"/>
      <c r="Q160" s="839"/>
      <c r="R160" s="1432"/>
      <c r="S160" s="1433"/>
      <c r="T160" s="1396"/>
      <c r="U160" s="1351"/>
      <c r="V160" s="38"/>
      <c r="W160" s="38"/>
      <c r="X160" s="38"/>
      <c r="Y160" s="40"/>
      <c r="Z160" s="43"/>
      <c r="AA160" s="44"/>
      <c r="AB160" s="44">
        <f t="shared" si="1"/>
        <v>0</v>
      </c>
      <c r="AC160" s="38"/>
      <c r="AD160" s="38"/>
      <c r="AE160" s="38"/>
      <c r="AF160" s="38"/>
    </row>
    <row r="161" spans="1:32" ht="15" customHeight="1" thickBot="1" x14ac:dyDescent="0.3">
      <c r="A161" s="1425"/>
      <c r="B161" s="1325"/>
      <c r="C161" s="899"/>
      <c r="D161" s="899"/>
      <c r="E161" s="899"/>
      <c r="F161" s="899"/>
      <c r="G161" s="1326"/>
      <c r="H161" s="914"/>
      <c r="I161" s="874"/>
      <c r="J161" s="1125"/>
      <c r="K161" s="1126"/>
      <c r="L161" s="849"/>
      <c r="M161" s="850"/>
      <c r="N161" s="850"/>
      <c r="O161" s="850"/>
      <c r="P161" s="851"/>
      <c r="Q161" s="839"/>
      <c r="R161" s="1432"/>
      <c r="S161" s="1433"/>
      <c r="T161" s="1396"/>
      <c r="U161" s="1351"/>
      <c r="V161" s="38"/>
      <c r="W161" s="38"/>
      <c r="X161" s="38"/>
      <c r="Y161" s="40"/>
      <c r="Z161" s="43"/>
      <c r="AA161" s="44"/>
      <c r="AB161" s="44">
        <f t="shared" si="1"/>
        <v>0</v>
      </c>
      <c r="AC161" s="38"/>
      <c r="AD161" s="38"/>
      <c r="AE161" s="38"/>
      <c r="AF161" s="38"/>
    </row>
    <row r="162" spans="1:32" ht="15" customHeight="1" thickBot="1" x14ac:dyDescent="0.3">
      <c r="A162" s="1425"/>
      <c r="B162" s="1325"/>
      <c r="C162" s="899"/>
      <c r="D162" s="899"/>
      <c r="E162" s="899"/>
      <c r="F162" s="899"/>
      <c r="G162" s="1326"/>
      <c r="H162" s="914"/>
      <c r="I162" s="874"/>
      <c r="J162" s="1125"/>
      <c r="K162" s="1126"/>
      <c r="L162" s="849"/>
      <c r="M162" s="850"/>
      <c r="N162" s="850"/>
      <c r="O162" s="850"/>
      <c r="P162" s="851"/>
      <c r="Q162" s="839"/>
      <c r="R162" s="1432"/>
      <c r="S162" s="1433"/>
      <c r="T162" s="1396"/>
      <c r="U162" s="1351"/>
      <c r="V162" s="38"/>
      <c r="W162" s="38"/>
      <c r="X162" s="38"/>
      <c r="Y162" s="40"/>
      <c r="Z162" s="43"/>
      <c r="AA162" s="44"/>
      <c r="AB162" s="44">
        <f t="shared" si="1"/>
        <v>0</v>
      </c>
      <c r="AC162" s="38"/>
      <c r="AD162" s="38"/>
      <c r="AE162" s="38"/>
      <c r="AF162" s="38"/>
    </row>
    <row r="163" spans="1:32" ht="15" customHeight="1" thickBot="1" x14ac:dyDescent="0.3">
      <c r="A163" s="1425"/>
      <c r="B163" s="1325"/>
      <c r="C163" s="899"/>
      <c r="D163" s="899"/>
      <c r="E163" s="899"/>
      <c r="F163" s="899"/>
      <c r="G163" s="1326"/>
      <c r="H163" s="914"/>
      <c r="I163" s="874"/>
      <c r="J163" s="1125"/>
      <c r="K163" s="1126"/>
      <c r="L163" s="849"/>
      <c r="M163" s="850"/>
      <c r="N163" s="850"/>
      <c r="O163" s="850"/>
      <c r="P163" s="851"/>
      <c r="Q163" s="839"/>
      <c r="R163" s="1432"/>
      <c r="S163" s="1433"/>
      <c r="T163" s="1396"/>
      <c r="U163" s="1351"/>
      <c r="V163" s="38"/>
      <c r="W163" s="38"/>
      <c r="X163" s="38"/>
      <c r="Y163" s="40"/>
      <c r="Z163" s="43"/>
      <c r="AA163" s="44"/>
      <c r="AB163" s="44">
        <f t="shared" si="1"/>
        <v>0</v>
      </c>
      <c r="AC163" s="38"/>
      <c r="AD163" s="38"/>
      <c r="AE163" s="38"/>
      <c r="AF163" s="38"/>
    </row>
    <row r="164" spans="1:32" ht="15" customHeight="1" thickBot="1" x14ac:dyDescent="0.3">
      <c r="A164" s="1425"/>
      <c r="B164" s="1325"/>
      <c r="C164" s="899"/>
      <c r="D164" s="899"/>
      <c r="E164" s="899"/>
      <c r="F164" s="899"/>
      <c r="G164" s="1326"/>
      <c r="H164" s="914"/>
      <c r="I164" s="874"/>
      <c r="J164" s="1125"/>
      <c r="K164" s="1126"/>
      <c r="L164" s="849"/>
      <c r="M164" s="850"/>
      <c r="N164" s="850"/>
      <c r="O164" s="850"/>
      <c r="P164" s="851"/>
      <c r="Q164" s="839"/>
      <c r="R164" s="1432"/>
      <c r="S164" s="1433"/>
      <c r="T164" s="1396"/>
      <c r="U164" s="1351"/>
      <c r="V164" s="38"/>
      <c r="W164" s="38"/>
      <c r="X164" s="38"/>
      <c r="Y164" s="40"/>
      <c r="Z164" s="43"/>
      <c r="AA164" s="44"/>
      <c r="AB164" s="44">
        <f t="shared" si="1"/>
        <v>0</v>
      </c>
      <c r="AC164" s="38"/>
      <c r="AD164" s="38"/>
      <c r="AE164" s="38"/>
      <c r="AF164" s="38"/>
    </row>
    <row r="165" spans="1:32" ht="15" customHeight="1" thickBot="1" x14ac:dyDescent="0.3">
      <c r="A165" s="1425"/>
      <c r="B165" s="1325"/>
      <c r="C165" s="899"/>
      <c r="D165" s="899"/>
      <c r="E165" s="899"/>
      <c r="F165" s="899"/>
      <c r="G165" s="1326"/>
      <c r="H165" s="914"/>
      <c r="I165" s="874"/>
      <c r="J165" s="1125"/>
      <c r="K165" s="1126"/>
      <c r="L165" s="849"/>
      <c r="M165" s="850"/>
      <c r="N165" s="850"/>
      <c r="O165" s="850"/>
      <c r="P165" s="851"/>
      <c r="Q165" s="839"/>
      <c r="R165" s="1432"/>
      <c r="S165" s="1433"/>
      <c r="T165" s="1396"/>
      <c r="U165" s="1351"/>
      <c r="V165" s="38"/>
      <c r="W165" s="38"/>
      <c r="X165" s="38"/>
      <c r="Y165" s="40"/>
      <c r="Z165" s="43"/>
      <c r="AA165" s="44"/>
      <c r="AB165" s="44">
        <f t="shared" si="1"/>
        <v>0</v>
      </c>
      <c r="AC165" s="38"/>
      <c r="AD165" s="38"/>
      <c r="AE165" s="38"/>
      <c r="AF165" s="38"/>
    </row>
    <row r="166" spans="1:32" ht="15" customHeight="1" thickBot="1" x14ac:dyDescent="0.3">
      <c r="A166" s="1425"/>
      <c r="B166" s="1325"/>
      <c r="C166" s="899"/>
      <c r="D166" s="899"/>
      <c r="E166" s="899"/>
      <c r="F166" s="899"/>
      <c r="G166" s="1326"/>
      <c r="H166" s="914"/>
      <c r="I166" s="874"/>
      <c r="J166" s="1125"/>
      <c r="K166" s="1126"/>
      <c r="L166" s="852"/>
      <c r="M166" s="853"/>
      <c r="N166" s="853"/>
      <c r="O166" s="853"/>
      <c r="P166" s="854"/>
      <c r="Q166" s="823"/>
      <c r="R166" s="1434"/>
      <c r="S166" s="1435"/>
      <c r="T166" s="1396"/>
      <c r="U166" s="1351"/>
      <c r="V166" s="38"/>
      <c r="W166" s="38"/>
      <c r="X166" s="38"/>
      <c r="Y166" s="40"/>
      <c r="Z166" s="43"/>
      <c r="AA166" s="44"/>
      <c r="AB166" s="44">
        <f t="shared" si="1"/>
        <v>0</v>
      </c>
      <c r="AC166" s="38"/>
      <c r="AD166" s="38"/>
      <c r="AE166" s="38"/>
      <c r="AF166" s="38"/>
    </row>
    <row r="167" spans="1:32" ht="15" customHeight="1" thickBot="1" x14ac:dyDescent="0.3">
      <c r="A167" s="1425"/>
      <c r="B167" s="1327"/>
      <c r="C167" s="1328"/>
      <c r="D167" s="1328"/>
      <c r="E167" s="1328"/>
      <c r="F167" s="1328"/>
      <c r="G167" s="1329"/>
      <c r="H167" s="996"/>
      <c r="I167" s="874"/>
      <c r="J167" s="1125"/>
      <c r="K167" s="1126"/>
      <c r="L167" s="1152" t="s">
        <v>433</v>
      </c>
      <c r="M167" s="1153"/>
      <c r="N167" s="1153"/>
      <c r="O167" s="1153"/>
      <c r="P167" s="1154"/>
      <c r="Q167" s="822" t="s">
        <v>107</v>
      </c>
      <c r="R167" s="1430"/>
      <c r="S167" s="1431"/>
      <c r="T167" s="1396"/>
      <c r="U167" s="1351"/>
      <c r="V167" s="38">
        <f>IF(AND(Q167="ja",R167=""),1,0)</f>
        <v>0</v>
      </c>
      <c r="W167" s="38"/>
      <c r="X167" s="38"/>
      <c r="Y167" s="40"/>
      <c r="Z167" s="43"/>
      <c r="AA167" s="44"/>
      <c r="AB167" s="44">
        <f t="shared" si="1"/>
        <v>0</v>
      </c>
      <c r="AC167" s="38"/>
      <c r="AD167" s="38"/>
      <c r="AE167" s="38"/>
      <c r="AF167" s="38"/>
    </row>
    <row r="168" spans="1:32" ht="15" customHeight="1" thickBot="1" x14ac:dyDescent="0.3">
      <c r="A168" s="1425"/>
      <c r="B168" s="1334" t="s">
        <v>434</v>
      </c>
      <c r="C168" s="1335"/>
      <c r="D168" s="1335"/>
      <c r="E168" s="1335"/>
      <c r="F168" s="1335"/>
      <c r="G168" s="1336"/>
      <c r="H168" s="913" t="s">
        <v>107</v>
      </c>
      <c r="I168" s="874"/>
      <c r="J168" s="1125"/>
      <c r="K168" s="1126"/>
      <c r="L168" s="849"/>
      <c r="M168" s="850"/>
      <c r="N168" s="850"/>
      <c r="O168" s="850"/>
      <c r="P168" s="851"/>
      <c r="Q168" s="839"/>
      <c r="R168" s="1432"/>
      <c r="S168" s="1433"/>
      <c r="T168" s="1396"/>
      <c r="U168" s="1351"/>
      <c r="V168" s="38"/>
      <c r="W168" s="38"/>
      <c r="X168" s="38"/>
      <c r="Y168" s="40">
        <v>1E-3</v>
      </c>
      <c r="Z168" s="43">
        <f>IF(H168="ja",Y168,0)</f>
        <v>0</v>
      </c>
      <c r="AA168" s="44"/>
      <c r="AB168" s="44">
        <f t="shared" ref="AB168:AB231" si="2">IF(Q168="ja",1,0)</f>
        <v>0</v>
      </c>
      <c r="AC168" s="38"/>
      <c r="AD168" s="38"/>
      <c r="AE168" s="38"/>
      <c r="AF168" s="38"/>
    </row>
    <row r="169" spans="1:32" ht="15" customHeight="1" thickBot="1" x14ac:dyDescent="0.3">
      <c r="A169" s="1425"/>
      <c r="B169" s="1325"/>
      <c r="C169" s="899"/>
      <c r="D169" s="899"/>
      <c r="E169" s="899"/>
      <c r="F169" s="899"/>
      <c r="G169" s="1326"/>
      <c r="H169" s="914"/>
      <c r="I169" s="874"/>
      <c r="J169" s="1125"/>
      <c r="K169" s="1126"/>
      <c r="L169" s="852"/>
      <c r="M169" s="853"/>
      <c r="N169" s="853"/>
      <c r="O169" s="853"/>
      <c r="P169" s="854"/>
      <c r="Q169" s="823"/>
      <c r="R169" s="1434"/>
      <c r="S169" s="1435"/>
      <c r="T169" s="1396"/>
      <c r="U169" s="1351"/>
      <c r="V169" s="38"/>
      <c r="W169" s="38"/>
      <c r="X169" s="38"/>
      <c r="Y169" s="40"/>
      <c r="Z169" s="43"/>
      <c r="AA169" s="44"/>
      <c r="AB169" s="44">
        <f t="shared" si="2"/>
        <v>0</v>
      </c>
      <c r="AC169" s="38"/>
      <c r="AD169" s="38"/>
      <c r="AE169" s="38"/>
      <c r="AF169" s="38"/>
    </row>
    <row r="170" spans="1:32" ht="15" customHeight="1" thickBot="1" x14ac:dyDescent="0.3">
      <c r="A170" s="1425"/>
      <c r="B170" s="1327"/>
      <c r="C170" s="1328"/>
      <c r="D170" s="1328"/>
      <c r="E170" s="1328"/>
      <c r="F170" s="1328"/>
      <c r="G170" s="1329"/>
      <c r="H170" s="996"/>
      <c r="I170" s="874"/>
      <c r="J170" s="1125"/>
      <c r="K170" s="1126"/>
      <c r="L170" s="1152" t="s">
        <v>247</v>
      </c>
      <c r="M170" s="1153"/>
      <c r="N170" s="1153"/>
      <c r="O170" s="1153"/>
      <c r="P170" s="1154"/>
      <c r="Q170" s="822" t="s">
        <v>107</v>
      </c>
      <c r="R170" s="1430"/>
      <c r="S170" s="1431"/>
      <c r="T170" s="1396"/>
      <c r="U170" s="1351"/>
      <c r="V170" s="38">
        <f>IF(AND(Q170="ja",R170=""),1,0)</f>
        <v>0</v>
      </c>
      <c r="W170" s="38"/>
      <c r="X170" s="38"/>
      <c r="Y170" s="40"/>
      <c r="Z170" s="43"/>
      <c r="AA170" s="44"/>
      <c r="AB170" s="44">
        <f t="shared" si="2"/>
        <v>0</v>
      </c>
      <c r="AC170" s="38"/>
      <c r="AD170" s="38"/>
      <c r="AE170" s="38"/>
      <c r="AF170" s="38"/>
    </row>
    <row r="171" spans="1:32" ht="15" customHeight="1" thickBot="1" x14ac:dyDescent="0.3">
      <c r="A171" s="1425"/>
      <c r="B171" s="1334" t="s">
        <v>435</v>
      </c>
      <c r="C171" s="1335"/>
      <c r="D171" s="1335"/>
      <c r="E171" s="1335"/>
      <c r="F171" s="1335"/>
      <c r="G171" s="1336"/>
      <c r="H171" s="913" t="s">
        <v>107</v>
      </c>
      <c r="I171" s="874"/>
      <c r="J171" s="1125"/>
      <c r="K171" s="1126"/>
      <c r="L171" s="849"/>
      <c r="M171" s="850"/>
      <c r="N171" s="850"/>
      <c r="O171" s="850"/>
      <c r="P171" s="851"/>
      <c r="Q171" s="839"/>
      <c r="R171" s="1432"/>
      <c r="S171" s="1433"/>
      <c r="T171" s="1396"/>
      <c r="U171" s="1351"/>
      <c r="V171" s="38"/>
      <c r="W171" s="38"/>
      <c r="X171" s="38"/>
      <c r="Y171" s="40">
        <v>7.4999999999999997E-3</v>
      </c>
      <c r="Z171" s="43">
        <f>IF(H171="ja",Y171,0)</f>
        <v>0</v>
      </c>
      <c r="AA171" s="44"/>
      <c r="AB171" s="44">
        <f t="shared" si="2"/>
        <v>0</v>
      </c>
      <c r="AC171" s="38"/>
      <c r="AD171" s="38"/>
      <c r="AE171" s="38"/>
      <c r="AF171" s="38"/>
    </row>
    <row r="172" spans="1:32" ht="15" customHeight="1" thickBot="1" x14ac:dyDescent="0.3">
      <c r="A172" s="1425"/>
      <c r="B172" s="1325"/>
      <c r="C172" s="899"/>
      <c r="D172" s="899"/>
      <c r="E172" s="899"/>
      <c r="F172" s="899"/>
      <c r="G172" s="1326"/>
      <c r="H172" s="914"/>
      <c r="I172" s="874"/>
      <c r="J172" s="1125"/>
      <c r="K172" s="1126"/>
      <c r="L172" s="849"/>
      <c r="M172" s="850"/>
      <c r="N172" s="850"/>
      <c r="O172" s="850"/>
      <c r="P172" s="851"/>
      <c r="Q172" s="839"/>
      <c r="R172" s="1432"/>
      <c r="S172" s="1433"/>
      <c r="T172" s="1396"/>
      <c r="U172" s="1351"/>
      <c r="V172" s="38"/>
      <c r="W172" s="38"/>
      <c r="X172" s="38"/>
      <c r="Y172" s="40"/>
      <c r="Z172" s="43"/>
      <c r="AA172" s="44"/>
      <c r="AB172" s="44">
        <f t="shared" si="2"/>
        <v>0</v>
      </c>
      <c r="AC172" s="38"/>
      <c r="AD172" s="38"/>
      <c r="AE172" s="38"/>
      <c r="AF172" s="38"/>
    </row>
    <row r="173" spans="1:32" ht="15" customHeight="1" thickBot="1" x14ac:dyDescent="0.3">
      <c r="A173" s="1425"/>
      <c r="B173" s="1327"/>
      <c r="C173" s="1328"/>
      <c r="D173" s="1328"/>
      <c r="E173" s="1328"/>
      <c r="F173" s="1328"/>
      <c r="G173" s="1329"/>
      <c r="H173" s="996"/>
      <c r="I173" s="874"/>
      <c r="J173" s="1125"/>
      <c r="K173" s="1126"/>
      <c r="L173" s="852"/>
      <c r="M173" s="853"/>
      <c r="N173" s="853"/>
      <c r="O173" s="853"/>
      <c r="P173" s="854"/>
      <c r="Q173" s="823"/>
      <c r="R173" s="1434"/>
      <c r="S173" s="1435"/>
      <c r="T173" s="1396"/>
      <c r="U173" s="1351"/>
      <c r="V173" s="38"/>
      <c r="W173" s="38"/>
      <c r="X173" s="38"/>
      <c r="Y173" s="40"/>
      <c r="Z173" s="43"/>
      <c r="AA173" s="44"/>
      <c r="AB173" s="44">
        <f t="shared" si="2"/>
        <v>0</v>
      </c>
      <c r="AC173" s="38"/>
      <c r="AD173" s="38"/>
      <c r="AE173" s="38"/>
      <c r="AF173" s="38"/>
    </row>
    <row r="174" spans="1:32" ht="15" customHeight="1" thickBot="1" x14ac:dyDescent="0.3">
      <c r="A174" s="1425"/>
      <c r="B174" s="1334" t="s">
        <v>245</v>
      </c>
      <c r="C174" s="1335"/>
      <c r="D174" s="1335"/>
      <c r="E174" s="1335"/>
      <c r="F174" s="1335"/>
      <c r="G174" s="1336"/>
      <c r="H174" s="913" t="s">
        <v>107</v>
      </c>
      <c r="I174" s="874"/>
      <c r="J174" s="1125"/>
      <c r="K174" s="1126"/>
      <c r="L174" s="1152"/>
      <c r="M174" s="1153"/>
      <c r="N174" s="1153"/>
      <c r="O174" s="1153"/>
      <c r="P174" s="1154"/>
      <c r="Q174" s="822" t="s">
        <v>107</v>
      </c>
      <c r="R174" s="1430"/>
      <c r="S174" s="1431"/>
      <c r="T174" s="1396"/>
      <c r="U174" s="1351"/>
      <c r="V174" s="38">
        <f>IF(AND(Q174="ja",R174=""),1,0)</f>
        <v>0</v>
      </c>
      <c r="W174" s="38"/>
      <c r="X174" s="38"/>
      <c r="Y174" s="40">
        <v>1E-3</v>
      </c>
      <c r="Z174" s="43">
        <f>IF(H174="ja",Y174,0)</f>
        <v>0</v>
      </c>
      <c r="AA174" s="44"/>
      <c r="AB174" s="44">
        <f t="shared" si="2"/>
        <v>0</v>
      </c>
      <c r="AC174" s="38"/>
      <c r="AD174" s="38"/>
      <c r="AE174" s="38"/>
      <c r="AF174" s="38"/>
    </row>
    <row r="175" spans="1:32" ht="15" customHeight="1" thickBot="1" x14ac:dyDescent="0.3">
      <c r="A175" s="1425"/>
      <c r="B175" s="1325"/>
      <c r="C175" s="899"/>
      <c r="D175" s="899"/>
      <c r="E175" s="899"/>
      <c r="F175" s="899"/>
      <c r="G175" s="1326"/>
      <c r="H175" s="914"/>
      <c r="I175" s="874"/>
      <c r="J175" s="1125"/>
      <c r="K175" s="1126"/>
      <c r="L175" s="849"/>
      <c r="M175" s="850"/>
      <c r="N175" s="850"/>
      <c r="O175" s="850"/>
      <c r="P175" s="851"/>
      <c r="Q175" s="839"/>
      <c r="R175" s="1432"/>
      <c r="S175" s="1433"/>
      <c r="T175" s="1396"/>
      <c r="U175" s="1351"/>
      <c r="V175" s="38"/>
      <c r="W175" s="38"/>
      <c r="X175" s="38"/>
      <c r="Y175" s="40"/>
      <c r="Z175" s="43"/>
      <c r="AA175" s="43"/>
      <c r="AB175" s="44">
        <f t="shared" si="2"/>
        <v>0</v>
      </c>
      <c r="AC175" s="38"/>
      <c r="AD175" s="38"/>
      <c r="AE175" s="38"/>
      <c r="AF175" s="38"/>
    </row>
    <row r="176" spans="1:32" ht="15" customHeight="1" thickBot="1" x14ac:dyDescent="0.3">
      <c r="A176" s="1425"/>
      <c r="B176" s="1327"/>
      <c r="C176" s="1328"/>
      <c r="D176" s="1328"/>
      <c r="E176" s="1328"/>
      <c r="F176" s="1328"/>
      <c r="G176" s="1329"/>
      <c r="H176" s="996"/>
      <c r="I176" s="874"/>
      <c r="J176" s="1125"/>
      <c r="K176" s="1126"/>
      <c r="L176" s="852"/>
      <c r="M176" s="853"/>
      <c r="N176" s="853"/>
      <c r="O176" s="853"/>
      <c r="P176" s="854"/>
      <c r="Q176" s="823"/>
      <c r="R176" s="1434"/>
      <c r="S176" s="1435"/>
      <c r="T176" s="1396"/>
      <c r="U176" s="1351"/>
      <c r="V176" s="38"/>
      <c r="W176" s="38"/>
      <c r="X176" s="38"/>
      <c r="Y176" s="40"/>
      <c r="Z176" s="43"/>
      <c r="AA176" s="44"/>
      <c r="AB176" s="44">
        <f t="shared" si="2"/>
        <v>0</v>
      </c>
      <c r="AC176" s="38"/>
      <c r="AD176" s="38"/>
      <c r="AE176" s="38"/>
      <c r="AF176" s="38"/>
    </row>
    <row r="177" spans="1:32" ht="15" customHeight="1" thickBot="1" x14ac:dyDescent="0.3">
      <c r="A177" s="1425"/>
      <c r="B177" s="775" t="s">
        <v>436</v>
      </c>
      <c r="C177" s="776"/>
      <c r="D177" s="776"/>
      <c r="E177" s="776"/>
      <c r="F177" s="776"/>
      <c r="G177" s="777"/>
      <c r="H177" s="233" t="s">
        <v>107</v>
      </c>
      <c r="I177" s="875"/>
      <c r="J177" s="1127"/>
      <c r="K177" s="1128"/>
      <c r="L177" s="1438"/>
      <c r="M177" s="1439"/>
      <c r="N177" s="1439"/>
      <c r="O177" s="1439"/>
      <c r="P177" s="1440"/>
      <c r="Q177" s="244" t="s">
        <v>107</v>
      </c>
      <c r="R177" s="1441"/>
      <c r="S177" s="1442"/>
      <c r="T177" s="1397"/>
      <c r="U177" s="1351"/>
      <c r="V177" s="38">
        <f>IF(AND(Q177="ja",R177=""),1,0)</f>
        <v>0</v>
      </c>
      <c r="W177" s="38"/>
      <c r="X177" s="38"/>
      <c r="Y177" s="40">
        <v>1E-3</v>
      </c>
      <c r="Z177" s="43">
        <f>IF(H177="ja",Y177,0)</f>
        <v>0</v>
      </c>
      <c r="AA177" s="44"/>
      <c r="AB177" s="44">
        <f t="shared" si="2"/>
        <v>0</v>
      </c>
      <c r="AC177" s="38"/>
      <c r="AD177" s="38"/>
      <c r="AE177" s="38"/>
      <c r="AF177" s="38"/>
    </row>
    <row r="178" spans="1:32" ht="14.55" thickBot="1" x14ac:dyDescent="0.3">
      <c r="A178" s="1425"/>
      <c r="B178" s="1371" t="s">
        <v>248</v>
      </c>
      <c r="C178" s="1372"/>
      <c r="D178" s="1372"/>
      <c r="E178" s="1372"/>
      <c r="F178" s="1372"/>
      <c r="G178" s="1426"/>
      <c r="H178" s="256"/>
      <c r="I178" s="1373"/>
      <c r="J178" s="1374"/>
      <c r="K178" s="1375"/>
      <c r="L178" s="1361">
        <f>SUM(R154:S177)</f>
        <v>0</v>
      </c>
      <c r="M178" s="1362"/>
      <c r="N178" s="1362"/>
      <c r="O178" s="1362"/>
      <c r="P178" s="1362"/>
      <c r="Q178" s="252"/>
      <c r="R178" s="1363"/>
      <c r="S178" s="1364"/>
      <c r="U178" s="249"/>
      <c r="V178" s="38"/>
      <c r="W178" s="38"/>
      <c r="X178" s="38"/>
      <c r="Y178" s="40"/>
      <c r="Z178" s="98">
        <f>SUM(Z154:Z177)</f>
        <v>0</v>
      </c>
      <c r="AA178" s="44"/>
      <c r="AB178" s="44">
        <f t="shared" si="2"/>
        <v>0</v>
      </c>
      <c r="AC178" s="38"/>
      <c r="AD178" s="38"/>
      <c r="AE178" s="38"/>
      <c r="AF178" s="38"/>
    </row>
    <row r="179" spans="1:32" ht="15" customHeight="1" thickBot="1" x14ac:dyDescent="0.3">
      <c r="A179" s="1425"/>
      <c r="B179" s="775" t="s">
        <v>252</v>
      </c>
      <c r="C179" s="776"/>
      <c r="D179" s="776"/>
      <c r="E179" s="776"/>
      <c r="F179" s="776"/>
      <c r="G179" s="777"/>
      <c r="H179" s="233" t="s">
        <v>107</v>
      </c>
      <c r="I179" s="873">
        <f>Z193</f>
        <v>0</v>
      </c>
      <c r="J179" s="1123">
        <f>I115*I179</f>
        <v>0</v>
      </c>
      <c r="K179" s="1124"/>
      <c r="L179" s="807" t="s">
        <v>437</v>
      </c>
      <c r="M179" s="808"/>
      <c r="N179" s="808"/>
      <c r="O179" s="808"/>
      <c r="P179" s="808"/>
      <c r="Q179" s="798" t="s">
        <v>107</v>
      </c>
      <c r="R179" s="1352"/>
      <c r="S179" s="1353"/>
      <c r="T179" s="1395" t="str">
        <f>IFERROR(IF((VLOOKUP(U179,Überblick!$M$124:$N$132,2))="ja","ja","nein"),"")</f>
        <v/>
      </c>
      <c r="U179" s="1351"/>
      <c r="V179" s="38">
        <f>IF(AND(Q179="ja",R179=""),1,0)</f>
        <v>0</v>
      </c>
      <c r="W179" s="38"/>
      <c r="X179" s="38"/>
      <c r="Y179" s="40">
        <v>1E-3</v>
      </c>
      <c r="Z179" s="43">
        <f>IF(H179="ja",Y179,0)</f>
        <v>0</v>
      </c>
      <c r="AA179" s="44"/>
      <c r="AB179" s="44">
        <f t="shared" si="2"/>
        <v>0</v>
      </c>
      <c r="AC179" s="38">
        <f>IF(AND(I179+SUM(V179:V192)&gt;0,U179=""),1,0)</f>
        <v>0</v>
      </c>
      <c r="AD179" s="38"/>
      <c r="AE179" s="38"/>
      <c r="AF179" s="38"/>
    </row>
    <row r="180" spans="1:32" ht="15" customHeight="1" thickBot="1" x14ac:dyDescent="0.3">
      <c r="A180" s="1425"/>
      <c r="B180" s="1334" t="s">
        <v>438</v>
      </c>
      <c r="C180" s="1335"/>
      <c r="D180" s="1335"/>
      <c r="E180" s="1335"/>
      <c r="F180" s="1335"/>
      <c r="G180" s="1336"/>
      <c r="H180" s="913" t="s">
        <v>107</v>
      </c>
      <c r="I180" s="874"/>
      <c r="J180" s="1125"/>
      <c r="K180" s="1126"/>
      <c r="L180" s="807"/>
      <c r="M180" s="808"/>
      <c r="N180" s="808"/>
      <c r="O180" s="808"/>
      <c r="P180" s="808"/>
      <c r="Q180" s="798"/>
      <c r="R180" s="1352"/>
      <c r="S180" s="1353"/>
      <c r="T180" s="1396"/>
      <c r="U180" s="1351"/>
      <c r="V180" s="38"/>
      <c r="W180" s="38"/>
      <c r="X180" s="38"/>
      <c r="Y180" s="40">
        <v>3.5000000000000003E-2</v>
      </c>
      <c r="Z180" s="43">
        <f>IF(H180="ja",Y180,0)</f>
        <v>0</v>
      </c>
      <c r="AA180" s="44"/>
      <c r="AB180" s="44">
        <f t="shared" si="2"/>
        <v>0</v>
      </c>
      <c r="AC180" s="38"/>
      <c r="AD180" s="38"/>
      <c r="AE180" s="38"/>
      <c r="AF180" s="38"/>
    </row>
    <row r="181" spans="1:32" ht="15" customHeight="1" thickBot="1" x14ac:dyDescent="0.3">
      <c r="A181" s="1425"/>
      <c r="B181" s="1325"/>
      <c r="C181" s="899"/>
      <c r="D181" s="899"/>
      <c r="E181" s="899"/>
      <c r="F181" s="899"/>
      <c r="G181" s="1326"/>
      <c r="H181" s="914"/>
      <c r="I181" s="874"/>
      <c r="J181" s="1125"/>
      <c r="K181" s="1126"/>
      <c r="L181" s="807"/>
      <c r="M181" s="808"/>
      <c r="N181" s="808"/>
      <c r="O181" s="808"/>
      <c r="P181" s="808"/>
      <c r="Q181" s="798"/>
      <c r="R181" s="1352"/>
      <c r="S181" s="1353"/>
      <c r="T181" s="1396"/>
      <c r="U181" s="1351"/>
      <c r="V181" s="38"/>
      <c r="W181" s="38"/>
      <c r="X181" s="38"/>
      <c r="Y181" s="40"/>
      <c r="Z181" s="43"/>
      <c r="AA181" s="44"/>
      <c r="AB181" s="44">
        <f t="shared" si="2"/>
        <v>0</v>
      </c>
      <c r="AC181" s="38"/>
      <c r="AD181" s="38"/>
      <c r="AE181" s="38"/>
      <c r="AF181" s="38"/>
    </row>
    <row r="182" spans="1:32" ht="15" customHeight="1" thickBot="1" x14ac:dyDescent="0.3">
      <c r="A182" s="1425"/>
      <c r="B182" s="1325"/>
      <c r="C182" s="899"/>
      <c r="D182" s="899"/>
      <c r="E182" s="899"/>
      <c r="F182" s="899"/>
      <c r="G182" s="1326"/>
      <c r="H182" s="914"/>
      <c r="I182" s="874"/>
      <c r="J182" s="1125"/>
      <c r="K182" s="1126"/>
      <c r="L182" s="807"/>
      <c r="M182" s="808"/>
      <c r="N182" s="808"/>
      <c r="O182" s="808"/>
      <c r="P182" s="808"/>
      <c r="Q182" s="798" t="s">
        <v>107</v>
      </c>
      <c r="R182" s="1352"/>
      <c r="S182" s="1353"/>
      <c r="T182" s="1396"/>
      <c r="U182" s="1351"/>
      <c r="V182" s="38">
        <f>IF(AND(Q182="ja",R182=""),1,0)</f>
        <v>0</v>
      </c>
      <c r="W182" s="38"/>
      <c r="X182" s="38"/>
      <c r="Y182" s="40"/>
      <c r="Z182" s="43"/>
      <c r="AA182" s="44"/>
      <c r="AB182" s="44">
        <f t="shared" si="2"/>
        <v>0</v>
      </c>
      <c r="AC182" s="38"/>
      <c r="AD182" s="38"/>
      <c r="AE182" s="38"/>
      <c r="AF182" s="38"/>
    </row>
    <row r="183" spans="1:32" ht="15" customHeight="1" thickBot="1" x14ac:dyDescent="0.3">
      <c r="A183" s="1425"/>
      <c r="B183" s="1325"/>
      <c r="C183" s="899"/>
      <c r="D183" s="899"/>
      <c r="E183" s="899"/>
      <c r="F183" s="899"/>
      <c r="G183" s="1326"/>
      <c r="H183" s="914"/>
      <c r="I183" s="874"/>
      <c r="J183" s="1125"/>
      <c r="K183" s="1126"/>
      <c r="L183" s="807"/>
      <c r="M183" s="808"/>
      <c r="N183" s="808"/>
      <c r="O183" s="808"/>
      <c r="P183" s="808"/>
      <c r="Q183" s="798"/>
      <c r="R183" s="1352"/>
      <c r="S183" s="1353"/>
      <c r="T183" s="1396"/>
      <c r="U183" s="1351"/>
      <c r="V183" s="38"/>
      <c r="W183" s="38"/>
      <c r="X183" s="38"/>
      <c r="Y183" s="40"/>
      <c r="Z183" s="43"/>
      <c r="AA183" s="44"/>
      <c r="AB183" s="44">
        <f t="shared" si="2"/>
        <v>0</v>
      </c>
      <c r="AC183" s="38"/>
      <c r="AD183" s="38"/>
      <c r="AE183" s="38"/>
      <c r="AF183" s="38"/>
    </row>
    <row r="184" spans="1:32" ht="15" customHeight="1" thickBot="1" x14ac:dyDescent="0.3">
      <c r="A184" s="1425"/>
      <c r="B184" s="1327"/>
      <c r="C184" s="1328"/>
      <c r="D184" s="1328"/>
      <c r="E184" s="1328"/>
      <c r="F184" s="1328"/>
      <c r="G184" s="1329"/>
      <c r="H184" s="996"/>
      <c r="I184" s="874"/>
      <c r="J184" s="1125"/>
      <c r="K184" s="1126"/>
      <c r="L184" s="807"/>
      <c r="M184" s="808"/>
      <c r="N184" s="808"/>
      <c r="O184" s="808"/>
      <c r="P184" s="808"/>
      <c r="Q184" s="798"/>
      <c r="R184" s="1352"/>
      <c r="S184" s="1353"/>
      <c r="T184" s="1396"/>
      <c r="U184" s="1351"/>
      <c r="V184" s="38"/>
      <c r="W184" s="38"/>
      <c r="X184" s="38"/>
      <c r="Y184" s="40"/>
      <c r="Z184" s="43"/>
      <c r="AA184" s="44"/>
      <c r="AB184" s="44">
        <f t="shared" si="2"/>
        <v>0</v>
      </c>
      <c r="AC184" s="38"/>
      <c r="AD184" s="38"/>
      <c r="AE184" s="38"/>
      <c r="AF184" s="38"/>
    </row>
    <row r="185" spans="1:32" ht="15" customHeight="1" thickBot="1" x14ac:dyDescent="0.3">
      <c r="A185" s="1425"/>
      <c r="B185" s="775" t="s">
        <v>256</v>
      </c>
      <c r="C185" s="776"/>
      <c r="D185" s="776"/>
      <c r="E185" s="776"/>
      <c r="F185" s="776"/>
      <c r="G185" s="777"/>
      <c r="H185" s="233" t="s">
        <v>107</v>
      </c>
      <c r="I185" s="874"/>
      <c r="J185" s="1125"/>
      <c r="K185" s="1126"/>
      <c r="L185" s="807" t="s">
        <v>255</v>
      </c>
      <c r="M185" s="808"/>
      <c r="N185" s="808"/>
      <c r="O185" s="808"/>
      <c r="P185" s="808"/>
      <c r="Q185" s="798" t="s">
        <v>107</v>
      </c>
      <c r="R185" s="1352"/>
      <c r="S185" s="1353"/>
      <c r="T185" s="1396"/>
      <c r="U185" s="1351"/>
      <c r="V185" s="38">
        <f>IF(AND(Q185="ja",R185=""),1,0)</f>
        <v>0</v>
      </c>
      <c r="W185" s="38"/>
      <c r="X185" s="38"/>
      <c r="Y185" s="40">
        <v>5.0000000000000001E-3</v>
      </c>
      <c r="Z185" s="43">
        <f>IF(H185="ja",Y185,0)</f>
        <v>0</v>
      </c>
      <c r="AA185" s="44"/>
      <c r="AB185" s="44">
        <f t="shared" si="2"/>
        <v>0</v>
      </c>
      <c r="AC185" s="38"/>
      <c r="AD185" s="38"/>
      <c r="AE185" s="38"/>
      <c r="AF185" s="38"/>
    </row>
    <row r="186" spans="1:32" ht="15" customHeight="1" thickBot="1" x14ac:dyDescent="0.3">
      <c r="A186" s="1425"/>
      <c r="B186" s="1334" t="s">
        <v>439</v>
      </c>
      <c r="C186" s="1335"/>
      <c r="D186" s="1335"/>
      <c r="E186" s="1335"/>
      <c r="F186" s="1335"/>
      <c r="G186" s="1336"/>
      <c r="H186" s="913" t="s">
        <v>107</v>
      </c>
      <c r="I186" s="874"/>
      <c r="J186" s="1125"/>
      <c r="K186" s="1126"/>
      <c r="L186" s="807"/>
      <c r="M186" s="808"/>
      <c r="N186" s="808"/>
      <c r="O186" s="808"/>
      <c r="P186" s="808"/>
      <c r="Q186" s="798"/>
      <c r="R186" s="1352"/>
      <c r="S186" s="1353"/>
      <c r="T186" s="1396"/>
      <c r="U186" s="1351"/>
      <c r="V186" s="38"/>
      <c r="W186" s="38"/>
      <c r="X186" s="38"/>
      <c r="Y186" s="40">
        <v>2.5000000000000001E-3</v>
      </c>
      <c r="Z186" s="43">
        <f>IF(H186="ja",Y186,0)</f>
        <v>0</v>
      </c>
      <c r="AA186" s="44"/>
      <c r="AB186" s="44">
        <f t="shared" si="2"/>
        <v>0</v>
      </c>
      <c r="AC186" s="38"/>
      <c r="AD186" s="38"/>
      <c r="AE186" s="38"/>
      <c r="AF186" s="38"/>
    </row>
    <row r="187" spans="1:32" ht="15" customHeight="1" thickBot="1" x14ac:dyDescent="0.3">
      <c r="A187" s="1425"/>
      <c r="B187" s="1325"/>
      <c r="C187" s="899"/>
      <c r="D187" s="899"/>
      <c r="E187" s="899"/>
      <c r="F187" s="899"/>
      <c r="G187" s="1326"/>
      <c r="H187" s="914"/>
      <c r="I187" s="874"/>
      <c r="J187" s="1125"/>
      <c r="K187" s="1126"/>
      <c r="L187" s="807"/>
      <c r="M187" s="808"/>
      <c r="N187" s="808"/>
      <c r="O187" s="808"/>
      <c r="P187" s="808"/>
      <c r="Q187" s="798"/>
      <c r="R187" s="1352"/>
      <c r="S187" s="1353"/>
      <c r="T187" s="1396"/>
      <c r="U187" s="1351"/>
      <c r="V187" s="38"/>
      <c r="W187" s="38"/>
      <c r="X187" s="38"/>
      <c r="Y187" s="40"/>
      <c r="Z187" s="43"/>
      <c r="AA187" s="44"/>
      <c r="AB187" s="44">
        <f t="shared" si="2"/>
        <v>0</v>
      </c>
      <c r="AC187" s="38"/>
      <c r="AD187" s="38"/>
      <c r="AE187" s="38"/>
      <c r="AF187" s="38"/>
    </row>
    <row r="188" spans="1:32" ht="15" customHeight="1" thickBot="1" x14ac:dyDescent="0.3">
      <c r="A188" s="1425"/>
      <c r="B188" s="1327"/>
      <c r="C188" s="1328"/>
      <c r="D188" s="1328"/>
      <c r="E188" s="1328"/>
      <c r="F188" s="1328"/>
      <c r="G188" s="1329"/>
      <c r="H188" s="996"/>
      <c r="I188" s="874"/>
      <c r="J188" s="1125"/>
      <c r="K188" s="1126"/>
      <c r="L188" s="807"/>
      <c r="M188" s="808"/>
      <c r="N188" s="808"/>
      <c r="O188" s="808"/>
      <c r="P188" s="808"/>
      <c r="Q188" s="798" t="s">
        <v>107</v>
      </c>
      <c r="R188" s="1352"/>
      <c r="S188" s="1353"/>
      <c r="T188" s="1396"/>
      <c r="U188" s="1351"/>
      <c r="V188" s="38">
        <f>IF(AND(Q188="ja",R188=""),1,0)</f>
        <v>0</v>
      </c>
      <c r="W188" s="38"/>
      <c r="X188" s="38"/>
      <c r="Y188" s="40"/>
      <c r="Z188" s="43"/>
      <c r="AA188" s="44"/>
      <c r="AB188" s="44">
        <f t="shared" si="2"/>
        <v>0</v>
      </c>
      <c r="AC188" s="38"/>
      <c r="AD188" s="38"/>
      <c r="AE188" s="38"/>
      <c r="AF188" s="38"/>
    </row>
    <row r="189" spans="1:32" ht="15" customHeight="1" thickBot="1" x14ac:dyDescent="0.3">
      <c r="A189" s="1425"/>
      <c r="B189" s="1334" t="s">
        <v>440</v>
      </c>
      <c r="C189" s="1335"/>
      <c r="D189" s="1335"/>
      <c r="E189" s="1335"/>
      <c r="F189" s="1335"/>
      <c r="G189" s="1336"/>
      <c r="H189" s="913" t="s">
        <v>107</v>
      </c>
      <c r="I189" s="874"/>
      <c r="J189" s="1125"/>
      <c r="K189" s="1126"/>
      <c r="L189" s="807"/>
      <c r="M189" s="808"/>
      <c r="N189" s="808"/>
      <c r="O189" s="808"/>
      <c r="P189" s="808"/>
      <c r="Q189" s="798"/>
      <c r="R189" s="1352"/>
      <c r="S189" s="1353"/>
      <c r="T189" s="1396"/>
      <c r="U189" s="1351"/>
      <c r="V189" s="38"/>
      <c r="W189" s="38"/>
      <c r="X189" s="38"/>
      <c r="Y189" s="40">
        <v>5.0000000000000001E-3</v>
      </c>
      <c r="Z189" s="43">
        <f>IF(H189="ja",Y189,0)</f>
        <v>0</v>
      </c>
      <c r="AA189" s="44"/>
      <c r="AB189" s="44">
        <f t="shared" si="2"/>
        <v>0</v>
      </c>
      <c r="AC189" s="38"/>
      <c r="AD189" s="38"/>
      <c r="AE189" s="38"/>
      <c r="AF189" s="38"/>
    </row>
    <row r="190" spans="1:32" ht="15" customHeight="1" thickBot="1" x14ac:dyDescent="0.3">
      <c r="A190" s="1425"/>
      <c r="B190" s="1327"/>
      <c r="C190" s="1328"/>
      <c r="D190" s="1328"/>
      <c r="E190" s="1328"/>
      <c r="F190" s="1328"/>
      <c r="G190" s="1329"/>
      <c r="H190" s="996"/>
      <c r="I190" s="874"/>
      <c r="J190" s="1125"/>
      <c r="K190" s="1126"/>
      <c r="L190" s="807"/>
      <c r="M190" s="808"/>
      <c r="N190" s="808"/>
      <c r="O190" s="808"/>
      <c r="P190" s="808"/>
      <c r="Q190" s="798"/>
      <c r="R190" s="1352"/>
      <c r="S190" s="1353"/>
      <c r="T190" s="1396"/>
      <c r="U190" s="1351"/>
      <c r="V190" s="38"/>
      <c r="W190" s="38"/>
      <c r="X190" s="38"/>
      <c r="Y190" s="40"/>
      <c r="Z190" s="43"/>
      <c r="AA190" s="43"/>
      <c r="AB190" s="44">
        <f t="shared" si="2"/>
        <v>0</v>
      </c>
      <c r="AC190" s="38"/>
      <c r="AD190" s="38"/>
      <c r="AE190" s="38"/>
      <c r="AF190" s="38"/>
    </row>
    <row r="191" spans="1:32" ht="15" customHeight="1" thickBot="1" x14ac:dyDescent="0.3">
      <c r="A191" s="1425"/>
      <c r="B191" s="1334" t="s">
        <v>441</v>
      </c>
      <c r="C191" s="1335"/>
      <c r="D191" s="1335"/>
      <c r="E191" s="1335"/>
      <c r="F191" s="1335"/>
      <c r="G191" s="1336"/>
      <c r="H191" s="913" t="s">
        <v>107</v>
      </c>
      <c r="I191" s="874"/>
      <c r="J191" s="1125"/>
      <c r="K191" s="1126"/>
      <c r="L191" s="1337"/>
      <c r="M191" s="1338"/>
      <c r="N191" s="1338"/>
      <c r="O191" s="1338"/>
      <c r="P191" s="1338"/>
      <c r="Q191" s="798" t="s">
        <v>107</v>
      </c>
      <c r="R191" s="1352"/>
      <c r="S191" s="1353"/>
      <c r="T191" s="1396"/>
      <c r="U191" s="1351"/>
      <c r="V191" s="38">
        <f>IF(AND(Q191="ja",R191=""),1,0)</f>
        <v>0</v>
      </c>
      <c r="W191" s="38"/>
      <c r="X191" s="38"/>
      <c r="Y191" s="40">
        <v>1.5E-3</v>
      </c>
      <c r="Z191" s="43">
        <f>IF(H191="ja",Y191,0)</f>
        <v>0</v>
      </c>
      <c r="AA191" s="44"/>
      <c r="AB191" s="44">
        <f t="shared" si="2"/>
        <v>0</v>
      </c>
      <c r="AC191" s="38"/>
      <c r="AD191" s="38"/>
      <c r="AE191" s="38"/>
      <c r="AF191" s="38"/>
    </row>
    <row r="192" spans="1:32" ht="15" customHeight="1" thickBot="1" x14ac:dyDescent="0.3">
      <c r="A192" s="1425"/>
      <c r="B192" s="1327"/>
      <c r="C192" s="1328"/>
      <c r="D192" s="1328"/>
      <c r="E192" s="1328"/>
      <c r="F192" s="1328"/>
      <c r="G192" s="1329"/>
      <c r="H192" s="996"/>
      <c r="I192" s="875"/>
      <c r="J192" s="1127"/>
      <c r="K192" s="1128"/>
      <c r="L192" s="1402"/>
      <c r="M192" s="1403"/>
      <c r="N192" s="1403"/>
      <c r="O192" s="1403"/>
      <c r="P192" s="1403"/>
      <c r="Q192" s="822"/>
      <c r="R192" s="1365"/>
      <c r="S192" s="1366"/>
      <c r="T192" s="1397"/>
      <c r="U192" s="1351"/>
      <c r="V192" s="38"/>
      <c r="W192" s="38"/>
      <c r="X192" s="38"/>
      <c r="Y192" s="40"/>
      <c r="Z192" s="43"/>
      <c r="AA192" s="44"/>
      <c r="AB192" s="44">
        <f t="shared" si="2"/>
        <v>0</v>
      </c>
      <c r="AC192" s="38"/>
      <c r="AD192" s="38"/>
      <c r="AE192" s="38"/>
      <c r="AF192" s="38"/>
    </row>
    <row r="193" spans="1:32" ht="14.55" thickBot="1" x14ac:dyDescent="0.3">
      <c r="A193" s="1425"/>
      <c r="B193" s="1371" t="s">
        <v>442</v>
      </c>
      <c r="C193" s="1372"/>
      <c r="D193" s="1372"/>
      <c r="E193" s="1372"/>
      <c r="F193" s="1372"/>
      <c r="G193" s="1426"/>
      <c r="H193" s="256"/>
      <c r="I193" s="257"/>
      <c r="J193" s="258"/>
      <c r="K193" s="258"/>
      <c r="L193" s="1361">
        <f>SUM(R179:S192)</f>
        <v>0</v>
      </c>
      <c r="M193" s="1362"/>
      <c r="N193" s="1362"/>
      <c r="O193" s="1362"/>
      <c r="P193" s="1362"/>
      <c r="Q193" s="252"/>
      <c r="R193" s="1363"/>
      <c r="S193" s="1364"/>
      <c r="U193" s="249"/>
      <c r="V193" s="38"/>
      <c r="W193" s="38"/>
      <c r="X193" s="38"/>
      <c r="Y193" s="40"/>
      <c r="Z193" s="98">
        <f>SUM(Z179:Z191)</f>
        <v>0</v>
      </c>
      <c r="AA193" s="44"/>
      <c r="AB193" s="44">
        <f t="shared" si="2"/>
        <v>0</v>
      </c>
      <c r="AC193" s="38"/>
      <c r="AD193" s="38"/>
      <c r="AE193" s="38"/>
      <c r="AF193" s="38"/>
    </row>
    <row r="194" spans="1:32" ht="15" customHeight="1" thickBot="1" x14ac:dyDescent="0.3">
      <c r="A194" s="1425"/>
      <c r="B194" s="1341" t="s">
        <v>443</v>
      </c>
      <c r="C194" s="1342"/>
      <c r="D194" s="1342"/>
      <c r="E194" s="1342"/>
      <c r="F194" s="1342"/>
      <c r="G194" s="1343"/>
      <c r="H194" s="995" t="s">
        <v>107</v>
      </c>
      <c r="I194" s="873">
        <f>Z235</f>
        <v>0</v>
      </c>
      <c r="J194" s="1123">
        <f>I194*I115</f>
        <v>0</v>
      </c>
      <c r="K194" s="1124"/>
      <c r="L194" s="846" t="s">
        <v>444</v>
      </c>
      <c r="M194" s="847"/>
      <c r="N194" s="847"/>
      <c r="O194" s="847"/>
      <c r="P194" s="848"/>
      <c r="Q194" s="1443" t="s">
        <v>107</v>
      </c>
      <c r="R194" s="1436"/>
      <c r="S194" s="1437"/>
      <c r="T194" s="1395" t="str">
        <f>IFERROR(IF((VLOOKUP(U194,Überblick!$M$124:$N$132,2))="ja","ja","nein"),"")</f>
        <v/>
      </c>
      <c r="U194" s="1351"/>
      <c r="V194" s="38">
        <f>IF(AND(Q194="ja",R194=""),1,0)</f>
        <v>0</v>
      </c>
      <c r="W194" s="38"/>
      <c r="X194" s="38"/>
      <c r="Y194" s="40">
        <v>0.17499999999999999</v>
      </c>
      <c r="Z194" s="43">
        <f>IF(H194="ja",Y194,0)</f>
        <v>0</v>
      </c>
      <c r="AA194" s="44"/>
      <c r="AB194" s="44">
        <f t="shared" si="2"/>
        <v>0</v>
      </c>
      <c r="AC194" s="38">
        <f>IF(AND(I194+SUM(V194:V234)&gt;0,U194=""),1,0)</f>
        <v>0</v>
      </c>
      <c r="AD194" s="38"/>
      <c r="AE194" s="38"/>
      <c r="AF194" s="38"/>
    </row>
    <row r="195" spans="1:32" ht="15" customHeight="1" thickBot="1" x14ac:dyDescent="0.3">
      <c r="A195" s="1425"/>
      <c r="B195" s="1325"/>
      <c r="C195" s="899"/>
      <c r="D195" s="899"/>
      <c r="E195" s="899"/>
      <c r="F195" s="899"/>
      <c r="G195" s="1326"/>
      <c r="H195" s="914"/>
      <c r="I195" s="874"/>
      <c r="J195" s="1125"/>
      <c r="K195" s="1126"/>
      <c r="L195" s="849"/>
      <c r="M195" s="850"/>
      <c r="N195" s="850"/>
      <c r="O195" s="850"/>
      <c r="P195" s="851"/>
      <c r="Q195" s="1444"/>
      <c r="R195" s="1432"/>
      <c r="S195" s="1433"/>
      <c r="T195" s="1396"/>
      <c r="U195" s="1351"/>
      <c r="V195" s="38"/>
      <c r="W195" s="38"/>
      <c r="X195" s="38"/>
      <c r="Y195" s="40"/>
      <c r="Z195" s="43"/>
      <c r="AA195" s="44"/>
      <c r="AB195" s="44">
        <f t="shared" si="2"/>
        <v>0</v>
      </c>
      <c r="AC195" s="38"/>
      <c r="AD195" s="38"/>
      <c r="AE195" s="38"/>
      <c r="AF195" s="38"/>
    </row>
    <row r="196" spans="1:32" ht="15" customHeight="1" thickBot="1" x14ac:dyDescent="0.3">
      <c r="A196" s="1425"/>
      <c r="B196" s="1325"/>
      <c r="C196" s="899"/>
      <c r="D196" s="899"/>
      <c r="E196" s="899"/>
      <c r="F196" s="899"/>
      <c r="G196" s="1326"/>
      <c r="H196" s="914"/>
      <c r="I196" s="874"/>
      <c r="J196" s="1125"/>
      <c r="K196" s="1126"/>
      <c r="L196" s="849"/>
      <c r="M196" s="850"/>
      <c r="N196" s="850"/>
      <c r="O196" s="850"/>
      <c r="P196" s="851"/>
      <c r="Q196" s="1444"/>
      <c r="R196" s="1432"/>
      <c r="S196" s="1433"/>
      <c r="T196" s="1396"/>
      <c r="U196" s="1351"/>
      <c r="V196" s="38"/>
      <c r="W196" s="38"/>
      <c r="X196" s="38"/>
      <c r="Y196" s="40"/>
      <c r="Z196" s="43"/>
      <c r="AA196" s="44"/>
      <c r="AB196" s="44">
        <f t="shared" si="2"/>
        <v>0</v>
      </c>
      <c r="AC196" s="38"/>
      <c r="AD196" s="38"/>
      <c r="AE196" s="38"/>
      <c r="AF196" s="38"/>
    </row>
    <row r="197" spans="1:32" ht="15" customHeight="1" thickBot="1" x14ac:dyDescent="0.3">
      <c r="A197" s="1425"/>
      <c r="B197" s="1325"/>
      <c r="C197" s="899"/>
      <c r="D197" s="899"/>
      <c r="E197" s="899"/>
      <c r="F197" s="899"/>
      <c r="G197" s="1326"/>
      <c r="H197" s="914"/>
      <c r="I197" s="874"/>
      <c r="J197" s="1125"/>
      <c r="K197" s="1126"/>
      <c r="L197" s="849"/>
      <c r="M197" s="850"/>
      <c r="N197" s="850"/>
      <c r="O197" s="850"/>
      <c r="P197" s="851"/>
      <c r="Q197" s="1444"/>
      <c r="R197" s="1432"/>
      <c r="S197" s="1433"/>
      <c r="T197" s="1396"/>
      <c r="U197" s="1351"/>
      <c r="V197" s="38">
        <f>IF(AND(Q197="ja",R197=""),1,0)</f>
        <v>0</v>
      </c>
      <c r="W197" s="38"/>
      <c r="X197" s="38"/>
      <c r="Y197" s="40"/>
      <c r="Z197" s="43"/>
      <c r="AA197" s="44"/>
      <c r="AB197" s="44">
        <f t="shared" si="2"/>
        <v>0</v>
      </c>
      <c r="AC197" s="38"/>
      <c r="AD197" s="38"/>
      <c r="AE197" s="38"/>
      <c r="AF197" s="38"/>
    </row>
    <row r="198" spans="1:32" ht="15" customHeight="1" thickBot="1" x14ac:dyDescent="0.3">
      <c r="A198" s="1425"/>
      <c r="B198" s="1325"/>
      <c r="C198" s="899"/>
      <c r="D198" s="899"/>
      <c r="E198" s="899"/>
      <c r="F198" s="899"/>
      <c r="G198" s="1326"/>
      <c r="H198" s="914"/>
      <c r="I198" s="874"/>
      <c r="J198" s="1125"/>
      <c r="K198" s="1126"/>
      <c r="L198" s="849"/>
      <c r="M198" s="850"/>
      <c r="N198" s="850"/>
      <c r="O198" s="850"/>
      <c r="P198" s="851"/>
      <c r="Q198" s="1444"/>
      <c r="R198" s="1432"/>
      <c r="S198" s="1433"/>
      <c r="T198" s="1396"/>
      <c r="U198" s="1351"/>
      <c r="V198" s="38"/>
      <c r="W198" s="38"/>
      <c r="X198" s="38"/>
      <c r="Y198" s="40"/>
      <c r="Z198" s="43"/>
      <c r="AA198" s="44"/>
      <c r="AB198" s="44">
        <f t="shared" si="2"/>
        <v>0</v>
      </c>
      <c r="AC198" s="38"/>
      <c r="AD198" s="38"/>
      <c r="AE198" s="38"/>
      <c r="AF198" s="38"/>
    </row>
    <row r="199" spans="1:32" ht="15" customHeight="1" thickBot="1" x14ac:dyDescent="0.3">
      <c r="A199" s="1425"/>
      <c r="B199" s="1325"/>
      <c r="C199" s="899"/>
      <c r="D199" s="899"/>
      <c r="E199" s="899"/>
      <c r="F199" s="899"/>
      <c r="G199" s="1326"/>
      <c r="H199" s="914"/>
      <c r="I199" s="874"/>
      <c r="J199" s="1125"/>
      <c r="K199" s="1126"/>
      <c r="L199" s="849"/>
      <c r="M199" s="850"/>
      <c r="N199" s="850"/>
      <c r="O199" s="850"/>
      <c r="P199" s="851"/>
      <c r="Q199" s="1444"/>
      <c r="R199" s="1432"/>
      <c r="S199" s="1433"/>
      <c r="T199" s="1396"/>
      <c r="U199" s="1351"/>
      <c r="V199" s="38"/>
      <c r="W199" s="38"/>
      <c r="X199" s="38"/>
      <c r="Y199" s="40"/>
      <c r="Z199" s="43"/>
      <c r="AA199" s="44"/>
      <c r="AB199" s="44">
        <f t="shared" si="2"/>
        <v>0</v>
      </c>
      <c r="AC199" s="38"/>
      <c r="AD199" s="38"/>
      <c r="AE199" s="38"/>
      <c r="AF199" s="38"/>
    </row>
    <row r="200" spans="1:32" ht="15" customHeight="1" thickBot="1" x14ac:dyDescent="0.3">
      <c r="A200" s="1425"/>
      <c r="B200" s="1327"/>
      <c r="C200" s="1328"/>
      <c r="D200" s="1328"/>
      <c r="E200" s="1328"/>
      <c r="F200" s="1328"/>
      <c r="G200" s="1329"/>
      <c r="H200" s="996"/>
      <c r="I200" s="874"/>
      <c r="J200" s="1125"/>
      <c r="K200" s="1126"/>
      <c r="L200" s="849"/>
      <c r="M200" s="850"/>
      <c r="N200" s="850"/>
      <c r="O200" s="850"/>
      <c r="P200" s="851"/>
      <c r="Q200" s="1444"/>
      <c r="R200" s="1432"/>
      <c r="S200" s="1433"/>
      <c r="T200" s="1396"/>
      <c r="U200" s="1351"/>
      <c r="V200" s="38">
        <f>IF(AND(Q200="ja",R200=""),1,0)</f>
        <v>0</v>
      </c>
      <c r="W200" s="38"/>
      <c r="X200" s="38"/>
      <c r="Y200" s="40"/>
      <c r="Z200" s="43"/>
      <c r="AA200" s="44"/>
      <c r="AB200" s="44">
        <f t="shared" si="2"/>
        <v>0</v>
      </c>
      <c r="AC200" s="38"/>
      <c r="AD200" s="38"/>
      <c r="AE200" s="38"/>
      <c r="AF200" s="38"/>
    </row>
    <row r="201" spans="1:32" ht="15" customHeight="1" thickBot="1" x14ac:dyDescent="0.3">
      <c r="A201" s="1425"/>
      <c r="B201" s="775" t="s">
        <v>445</v>
      </c>
      <c r="C201" s="776"/>
      <c r="D201" s="776"/>
      <c r="E201" s="776"/>
      <c r="F201" s="776"/>
      <c r="G201" s="777"/>
      <c r="H201" s="233" t="s">
        <v>107</v>
      </c>
      <c r="I201" s="874"/>
      <c r="J201" s="1125"/>
      <c r="K201" s="1126"/>
      <c r="L201" s="849"/>
      <c r="M201" s="850"/>
      <c r="N201" s="850"/>
      <c r="O201" s="850"/>
      <c r="P201" s="851"/>
      <c r="Q201" s="1444"/>
      <c r="R201" s="1432"/>
      <c r="S201" s="1433"/>
      <c r="T201" s="1396"/>
      <c r="U201" s="1351"/>
      <c r="V201" s="38"/>
      <c r="W201" s="38"/>
      <c r="X201" s="38"/>
      <c r="Y201" s="40">
        <v>3.0000000000000001E-3</v>
      </c>
      <c r="Z201" s="43">
        <f>IF(H201="ja",Y201,0)</f>
        <v>0</v>
      </c>
      <c r="AA201" s="44"/>
      <c r="AB201" s="44">
        <f t="shared" si="2"/>
        <v>0</v>
      </c>
      <c r="AC201" s="38"/>
      <c r="AD201" s="38"/>
      <c r="AE201" s="38"/>
      <c r="AF201" s="38"/>
    </row>
    <row r="202" spans="1:32" ht="15" customHeight="1" thickBot="1" x14ac:dyDescent="0.3">
      <c r="A202" s="1425"/>
      <c r="B202" s="1334" t="s">
        <v>446</v>
      </c>
      <c r="C202" s="1335"/>
      <c r="D202" s="1335"/>
      <c r="E202" s="1335"/>
      <c r="F202" s="1335"/>
      <c r="G202" s="1336"/>
      <c r="H202" s="913" t="s">
        <v>107</v>
      </c>
      <c r="I202" s="874"/>
      <c r="J202" s="1125"/>
      <c r="K202" s="1126"/>
      <c r="L202" s="849"/>
      <c r="M202" s="850"/>
      <c r="N202" s="850"/>
      <c r="O202" s="850"/>
      <c r="P202" s="851"/>
      <c r="Q202" s="1444"/>
      <c r="R202" s="1432"/>
      <c r="S202" s="1433"/>
      <c r="T202" s="1396"/>
      <c r="U202" s="1351"/>
      <c r="V202" s="38"/>
      <c r="W202" s="38"/>
      <c r="X202" s="38"/>
      <c r="Y202" s="40">
        <v>6.4999999999999997E-3</v>
      </c>
      <c r="Z202" s="43">
        <f>IF(H202="ja",Y202,0)</f>
        <v>0</v>
      </c>
      <c r="AA202" s="44"/>
      <c r="AB202" s="44">
        <f t="shared" si="2"/>
        <v>0</v>
      </c>
      <c r="AC202" s="38"/>
      <c r="AD202" s="38"/>
      <c r="AE202" s="38"/>
      <c r="AF202" s="38"/>
    </row>
    <row r="203" spans="1:32" ht="15" customHeight="1" thickBot="1" x14ac:dyDescent="0.3">
      <c r="A203" s="1425"/>
      <c r="B203" s="1327"/>
      <c r="C203" s="1328"/>
      <c r="D203" s="1328"/>
      <c r="E203" s="1328"/>
      <c r="F203" s="1328"/>
      <c r="G203" s="1329"/>
      <c r="H203" s="996"/>
      <c r="I203" s="874"/>
      <c r="J203" s="1125"/>
      <c r="K203" s="1126"/>
      <c r="L203" s="849"/>
      <c r="M203" s="850"/>
      <c r="N203" s="850"/>
      <c r="O203" s="850"/>
      <c r="P203" s="851"/>
      <c r="Q203" s="1445"/>
      <c r="R203" s="1434"/>
      <c r="S203" s="1435"/>
      <c r="T203" s="1396"/>
      <c r="U203" s="1351"/>
      <c r="V203" s="38">
        <f>IF(AND(Q204="ja",R204=""),1,0)</f>
        <v>0</v>
      </c>
      <c r="W203" s="38"/>
      <c r="X203" s="38"/>
      <c r="Y203" s="40"/>
      <c r="Z203" s="43"/>
      <c r="AA203" s="44"/>
      <c r="AB203" s="44">
        <f>IF(Q204="ja",1,0)</f>
        <v>0</v>
      </c>
      <c r="AC203" s="38"/>
      <c r="AD203" s="38"/>
      <c r="AE203" s="38"/>
      <c r="AF203" s="38"/>
    </row>
    <row r="204" spans="1:32" ht="15" customHeight="1" thickBot="1" x14ac:dyDescent="0.3">
      <c r="A204" s="1425"/>
      <c r="B204" s="775" t="s">
        <v>447</v>
      </c>
      <c r="C204" s="776"/>
      <c r="D204" s="776"/>
      <c r="E204" s="776"/>
      <c r="F204" s="776"/>
      <c r="G204" s="777"/>
      <c r="H204" s="233" t="s">
        <v>107</v>
      </c>
      <c r="I204" s="874"/>
      <c r="J204" s="1125"/>
      <c r="K204" s="1126"/>
      <c r="L204" s="1152" t="s">
        <v>266</v>
      </c>
      <c r="M204" s="1153"/>
      <c r="N204" s="1153"/>
      <c r="O204" s="1153"/>
      <c r="P204" s="1154"/>
      <c r="Q204" s="822" t="s">
        <v>107</v>
      </c>
      <c r="R204" s="1430"/>
      <c r="S204" s="1431"/>
      <c r="T204" s="1396"/>
      <c r="U204" s="1351"/>
      <c r="V204" s="38"/>
      <c r="W204" s="38"/>
      <c r="X204" s="38"/>
      <c r="Y204" s="40">
        <v>5.0000000000000001E-3</v>
      </c>
      <c r="Z204" s="43">
        <f>IF(H204="ja",Y204,0)</f>
        <v>0</v>
      </c>
      <c r="AA204" s="44"/>
      <c r="AB204" s="44">
        <f>IF(Q205="ja",1,0)</f>
        <v>0</v>
      </c>
      <c r="AC204" s="38"/>
      <c r="AD204" s="38"/>
      <c r="AE204" s="38"/>
      <c r="AF204" s="38"/>
    </row>
    <row r="205" spans="1:32" ht="15" customHeight="1" thickBot="1" x14ac:dyDescent="0.3">
      <c r="A205" s="1425"/>
      <c r="B205" s="1334" t="s">
        <v>448</v>
      </c>
      <c r="C205" s="1335"/>
      <c r="D205" s="1335"/>
      <c r="E205" s="1335"/>
      <c r="F205" s="1335"/>
      <c r="G205" s="1336"/>
      <c r="H205" s="913" t="s">
        <v>107</v>
      </c>
      <c r="I205" s="874"/>
      <c r="J205" s="1125"/>
      <c r="K205" s="1126"/>
      <c r="L205" s="852"/>
      <c r="M205" s="853"/>
      <c r="N205" s="853"/>
      <c r="O205" s="853"/>
      <c r="P205" s="854"/>
      <c r="Q205" s="823"/>
      <c r="R205" s="1434"/>
      <c r="S205" s="1435"/>
      <c r="T205" s="1396"/>
      <c r="U205" s="1351"/>
      <c r="V205" s="38"/>
      <c r="W205" s="38"/>
      <c r="X205" s="38"/>
      <c r="Y205" s="40">
        <v>1E-3</v>
      </c>
      <c r="Z205" s="43">
        <f>IF(H205="ja",Y205,0)</f>
        <v>0</v>
      </c>
      <c r="AA205" s="44"/>
      <c r="AB205" s="44">
        <f t="shared" si="2"/>
        <v>0</v>
      </c>
      <c r="AC205" s="38"/>
      <c r="AD205" s="38"/>
      <c r="AE205" s="38"/>
      <c r="AF205" s="38"/>
    </row>
    <row r="206" spans="1:32" ht="15" customHeight="1" thickBot="1" x14ac:dyDescent="0.3">
      <c r="A206" s="1425"/>
      <c r="B206" s="1325"/>
      <c r="C206" s="899"/>
      <c r="D206" s="899"/>
      <c r="E206" s="899"/>
      <c r="F206" s="899"/>
      <c r="G206" s="1326"/>
      <c r="H206" s="914"/>
      <c r="I206" s="874"/>
      <c r="J206" s="1125"/>
      <c r="K206" s="1126"/>
      <c r="L206" s="807"/>
      <c r="M206" s="808"/>
      <c r="N206" s="808"/>
      <c r="O206" s="808"/>
      <c r="P206" s="808"/>
      <c r="Q206" s="798" t="s">
        <v>107</v>
      </c>
      <c r="R206" s="1352"/>
      <c r="S206" s="1353"/>
      <c r="T206" s="1396"/>
      <c r="U206" s="1351"/>
      <c r="V206" s="38">
        <f>IF(AND(Q206="ja",R206=""),1,0)</f>
        <v>0</v>
      </c>
      <c r="W206" s="38"/>
      <c r="X206" s="38"/>
      <c r="Y206" s="40"/>
      <c r="Z206" s="43"/>
      <c r="AA206" s="44"/>
      <c r="AB206" s="44">
        <f t="shared" si="2"/>
        <v>0</v>
      </c>
      <c r="AC206" s="38"/>
      <c r="AD206" s="38"/>
      <c r="AE206" s="38"/>
      <c r="AF206" s="38"/>
    </row>
    <row r="207" spans="1:32" ht="15" customHeight="1" thickBot="1" x14ac:dyDescent="0.3">
      <c r="A207" s="1425"/>
      <c r="B207" s="1327"/>
      <c r="C207" s="1328"/>
      <c r="D207" s="1328"/>
      <c r="E207" s="1328"/>
      <c r="F207" s="1328"/>
      <c r="G207" s="1329"/>
      <c r="H207" s="996"/>
      <c r="I207" s="874"/>
      <c r="J207" s="1125"/>
      <c r="K207" s="1126"/>
      <c r="L207" s="807"/>
      <c r="M207" s="808"/>
      <c r="N207" s="808"/>
      <c r="O207" s="808"/>
      <c r="P207" s="808"/>
      <c r="Q207" s="798"/>
      <c r="R207" s="1352"/>
      <c r="S207" s="1353"/>
      <c r="T207" s="1396"/>
      <c r="U207" s="1351"/>
      <c r="V207" s="38"/>
      <c r="W207" s="38"/>
      <c r="X207" s="38"/>
      <c r="Y207" s="40"/>
      <c r="Z207" s="43"/>
      <c r="AA207" s="44"/>
      <c r="AB207" s="44">
        <f t="shared" si="2"/>
        <v>0</v>
      </c>
      <c r="AC207" s="38"/>
      <c r="AD207" s="38"/>
      <c r="AE207" s="38"/>
      <c r="AF207" s="38"/>
    </row>
    <row r="208" spans="1:32" ht="15" customHeight="1" thickBot="1" x14ac:dyDescent="0.3">
      <c r="A208" s="1425"/>
      <c r="B208" s="775" t="s">
        <v>449</v>
      </c>
      <c r="C208" s="776"/>
      <c r="D208" s="776"/>
      <c r="E208" s="776"/>
      <c r="F208" s="776"/>
      <c r="G208" s="777"/>
      <c r="H208" s="233" t="s">
        <v>107</v>
      </c>
      <c r="I208" s="874"/>
      <c r="J208" s="1125"/>
      <c r="K208" s="1126"/>
      <c r="L208" s="807"/>
      <c r="M208" s="808"/>
      <c r="N208" s="808"/>
      <c r="O208" s="808"/>
      <c r="P208" s="808"/>
      <c r="Q208" s="798"/>
      <c r="R208" s="1352"/>
      <c r="S208" s="1353"/>
      <c r="T208" s="1396"/>
      <c r="U208" s="1351"/>
      <c r="V208" s="38"/>
      <c r="W208" s="38"/>
      <c r="X208" s="38"/>
      <c r="Y208" s="40">
        <v>2.2499999999999999E-2</v>
      </c>
      <c r="Z208" s="43">
        <f>IF(H208="ja",Y208,0)</f>
        <v>0</v>
      </c>
      <c r="AA208" s="44"/>
      <c r="AB208" s="44">
        <f t="shared" si="2"/>
        <v>0</v>
      </c>
      <c r="AC208" s="38"/>
      <c r="AD208" s="38"/>
      <c r="AE208" s="38"/>
      <c r="AF208" s="38"/>
    </row>
    <row r="209" spans="1:32" ht="15" customHeight="1" thickBot="1" x14ac:dyDescent="0.3">
      <c r="A209" s="1425"/>
      <c r="B209" s="1334" t="s">
        <v>450</v>
      </c>
      <c r="C209" s="1335"/>
      <c r="D209" s="1335"/>
      <c r="E209" s="1335"/>
      <c r="F209" s="1335"/>
      <c r="G209" s="1336"/>
      <c r="H209" s="913" t="s">
        <v>107</v>
      </c>
      <c r="I209" s="874"/>
      <c r="J209" s="1125"/>
      <c r="K209" s="1126"/>
      <c r="L209" s="807" t="s">
        <v>451</v>
      </c>
      <c r="M209" s="808"/>
      <c r="N209" s="808"/>
      <c r="O209" s="808"/>
      <c r="P209" s="808"/>
      <c r="Q209" s="798" t="s">
        <v>107</v>
      </c>
      <c r="R209" s="1352"/>
      <c r="S209" s="1353"/>
      <c r="T209" s="1396"/>
      <c r="U209" s="1351"/>
      <c r="V209" s="38">
        <f>IF(AND(Q209="ja",R209=""),1,0)</f>
        <v>0</v>
      </c>
      <c r="W209" s="38"/>
      <c r="X209" s="38"/>
      <c r="Y209" s="40">
        <v>6.5000000000000002E-2</v>
      </c>
      <c r="Z209" s="43">
        <f>IF(H209="ja",Y209,0)</f>
        <v>0</v>
      </c>
      <c r="AA209" s="44"/>
      <c r="AB209" s="44">
        <f t="shared" si="2"/>
        <v>0</v>
      </c>
      <c r="AC209" s="38"/>
      <c r="AD209" s="38"/>
      <c r="AE209" s="38"/>
      <c r="AF209" s="38"/>
    </row>
    <row r="210" spans="1:32" ht="15" customHeight="1" thickBot="1" x14ac:dyDescent="0.3">
      <c r="A210" s="1425"/>
      <c r="B210" s="1325"/>
      <c r="C210" s="899"/>
      <c r="D210" s="899"/>
      <c r="E210" s="899"/>
      <c r="F210" s="899"/>
      <c r="G210" s="1326"/>
      <c r="H210" s="914"/>
      <c r="I210" s="874"/>
      <c r="J210" s="1125"/>
      <c r="K210" s="1126"/>
      <c r="L210" s="807"/>
      <c r="M210" s="808"/>
      <c r="N210" s="808"/>
      <c r="O210" s="808"/>
      <c r="P210" s="808"/>
      <c r="Q210" s="798"/>
      <c r="R210" s="1352"/>
      <c r="S210" s="1353"/>
      <c r="T210" s="1396"/>
      <c r="U210" s="1351"/>
      <c r="V210" s="38"/>
      <c r="W210" s="38"/>
      <c r="X210" s="38"/>
      <c r="Y210" s="40"/>
      <c r="Z210" s="43"/>
      <c r="AA210" s="44"/>
      <c r="AB210" s="44">
        <f t="shared" si="2"/>
        <v>0</v>
      </c>
      <c r="AC210" s="38"/>
      <c r="AD210" s="38"/>
      <c r="AE210" s="38"/>
      <c r="AF210" s="38"/>
    </row>
    <row r="211" spans="1:32" ht="15" customHeight="1" thickBot="1" x14ac:dyDescent="0.3">
      <c r="A211" s="1425"/>
      <c r="B211" s="1325"/>
      <c r="C211" s="899"/>
      <c r="D211" s="899"/>
      <c r="E211" s="899"/>
      <c r="F211" s="899"/>
      <c r="G211" s="1326"/>
      <c r="H211" s="914"/>
      <c r="I211" s="874"/>
      <c r="J211" s="1125"/>
      <c r="K211" s="1126"/>
      <c r="L211" s="807"/>
      <c r="M211" s="808"/>
      <c r="N211" s="808"/>
      <c r="O211" s="808"/>
      <c r="P211" s="808"/>
      <c r="Q211" s="798"/>
      <c r="R211" s="1352"/>
      <c r="S211" s="1353"/>
      <c r="T211" s="1396"/>
      <c r="U211" s="1351"/>
      <c r="V211" s="38"/>
      <c r="W211" s="38"/>
      <c r="X211" s="38"/>
      <c r="Y211" s="40"/>
      <c r="Z211" s="43"/>
      <c r="AA211" s="44"/>
      <c r="AB211" s="44">
        <f t="shared" si="2"/>
        <v>0</v>
      </c>
      <c r="AC211" s="38"/>
      <c r="AD211" s="38"/>
      <c r="AE211" s="38"/>
      <c r="AF211" s="38"/>
    </row>
    <row r="212" spans="1:32" ht="15" customHeight="1" thickBot="1" x14ac:dyDescent="0.3">
      <c r="A212" s="1425"/>
      <c r="B212" s="1327"/>
      <c r="C212" s="1328"/>
      <c r="D212" s="1328"/>
      <c r="E212" s="1328"/>
      <c r="F212" s="1328"/>
      <c r="G212" s="1329"/>
      <c r="H212" s="996"/>
      <c r="I212" s="874"/>
      <c r="J212" s="1125"/>
      <c r="K212" s="1126"/>
      <c r="L212" s="1152" t="s">
        <v>452</v>
      </c>
      <c r="M212" s="1153"/>
      <c r="N212" s="1153"/>
      <c r="O212" s="1153"/>
      <c r="P212" s="1154"/>
      <c r="Q212" s="1446" t="s">
        <v>107</v>
      </c>
      <c r="R212" s="1430"/>
      <c r="S212" s="1431"/>
      <c r="T212" s="1396"/>
      <c r="U212" s="1351"/>
      <c r="V212" s="38">
        <f>IF(AND(Q212="ja",R212=""),1,0)</f>
        <v>0</v>
      </c>
      <c r="W212" s="38"/>
      <c r="X212" s="38"/>
      <c r="Y212" s="40"/>
      <c r="Z212" s="43"/>
      <c r="AA212" s="44"/>
      <c r="AB212" s="44">
        <f t="shared" si="2"/>
        <v>0</v>
      </c>
      <c r="AC212" s="38"/>
      <c r="AD212" s="38"/>
      <c r="AE212" s="38"/>
      <c r="AF212" s="38"/>
    </row>
    <row r="213" spans="1:32" ht="15" customHeight="1" thickBot="1" x14ac:dyDescent="0.3">
      <c r="A213" s="1425"/>
      <c r="B213" s="1334" t="s">
        <v>453</v>
      </c>
      <c r="C213" s="1335"/>
      <c r="D213" s="1335"/>
      <c r="E213" s="1335"/>
      <c r="F213" s="1335"/>
      <c r="G213" s="1336"/>
      <c r="H213" s="913" t="s">
        <v>107</v>
      </c>
      <c r="I213" s="874"/>
      <c r="J213" s="1125"/>
      <c r="K213" s="1126"/>
      <c r="L213" s="849"/>
      <c r="M213" s="850"/>
      <c r="N213" s="850"/>
      <c r="O213" s="850"/>
      <c r="P213" s="851"/>
      <c r="Q213" s="1447"/>
      <c r="R213" s="1432"/>
      <c r="S213" s="1433"/>
      <c r="T213" s="1396"/>
      <c r="U213" s="1351"/>
      <c r="V213" s="38"/>
      <c r="W213" s="38"/>
      <c r="X213" s="38"/>
      <c r="Y213" s="40">
        <v>8.5000000000000006E-3</v>
      </c>
      <c r="Z213" s="43">
        <f>IF(H213="ja",Y213,0)</f>
        <v>0</v>
      </c>
      <c r="AA213" s="44"/>
      <c r="AB213" s="44">
        <f t="shared" si="2"/>
        <v>0</v>
      </c>
      <c r="AC213" s="38"/>
      <c r="AD213" s="38"/>
      <c r="AE213" s="38"/>
      <c r="AF213" s="38"/>
    </row>
    <row r="214" spans="1:32" ht="15" customHeight="1" thickBot="1" x14ac:dyDescent="0.3">
      <c r="A214" s="1425"/>
      <c r="B214" s="1325"/>
      <c r="C214" s="899"/>
      <c r="D214" s="899"/>
      <c r="E214" s="899"/>
      <c r="F214" s="899"/>
      <c r="G214" s="1326"/>
      <c r="H214" s="914"/>
      <c r="I214" s="874"/>
      <c r="J214" s="1125"/>
      <c r="K214" s="1126"/>
      <c r="L214" s="849"/>
      <c r="M214" s="850"/>
      <c r="N214" s="850"/>
      <c r="O214" s="850"/>
      <c r="P214" s="851"/>
      <c r="Q214" s="1447"/>
      <c r="R214" s="1432"/>
      <c r="S214" s="1433"/>
      <c r="T214" s="1396"/>
      <c r="U214" s="1351"/>
      <c r="V214" s="38"/>
      <c r="W214" s="38"/>
      <c r="X214" s="38"/>
      <c r="Y214" s="40"/>
      <c r="Z214" s="43"/>
      <c r="AA214" s="44"/>
      <c r="AB214" s="44">
        <f t="shared" si="2"/>
        <v>0</v>
      </c>
      <c r="AC214" s="38"/>
      <c r="AD214" s="38"/>
      <c r="AE214" s="38"/>
      <c r="AF214" s="38"/>
    </row>
    <row r="215" spans="1:32" ht="15" customHeight="1" thickBot="1" x14ac:dyDescent="0.3">
      <c r="A215" s="1425"/>
      <c r="B215" s="1325"/>
      <c r="C215" s="899"/>
      <c r="D215" s="899"/>
      <c r="E215" s="899"/>
      <c r="F215" s="899"/>
      <c r="G215" s="1326"/>
      <c r="H215" s="914"/>
      <c r="I215" s="874"/>
      <c r="J215" s="1125"/>
      <c r="K215" s="1126"/>
      <c r="L215" s="849"/>
      <c r="M215" s="850"/>
      <c r="N215" s="850"/>
      <c r="O215" s="850"/>
      <c r="P215" s="851"/>
      <c r="Q215" s="1447"/>
      <c r="R215" s="1432"/>
      <c r="S215" s="1433"/>
      <c r="T215" s="1396"/>
      <c r="U215" s="1351"/>
      <c r="V215" s="38">
        <f>IF(AND(Q215="ja",R215=""),1,0)</f>
        <v>0</v>
      </c>
      <c r="W215" s="38"/>
      <c r="X215" s="38"/>
      <c r="Y215" s="40"/>
      <c r="Z215" s="43"/>
      <c r="AA215" s="44"/>
      <c r="AB215" s="44">
        <f t="shared" si="2"/>
        <v>0</v>
      </c>
      <c r="AC215" s="38"/>
      <c r="AD215" s="38"/>
      <c r="AE215" s="38"/>
      <c r="AF215" s="38"/>
    </row>
    <row r="216" spans="1:32" ht="15" customHeight="1" thickBot="1" x14ac:dyDescent="0.3">
      <c r="A216" s="1425"/>
      <c r="B216" s="1327"/>
      <c r="C216" s="1328"/>
      <c r="D216" s="1328"/>
      <c r="E216" s="1328"/>
      <c r="F216" s="1328"/>
      <c r="G216" s="1329"/>
      <c r="H216" s="996"/>
      <c r="I216" s="874"/>
      <c r="J216" s="1125"/>
      <c r="K216" s="1126"/>
      <c r="L216" s="849"/>
      <c r="M216" s="850"/>
      <c r="N216" s="850"/>
      <c r="O216" s="850"/>
      <c r="P216" s="851"/>
      <c r="Q216" s="1447"/>
      <c r="R216" s="1432"/>
      <c r="S216" s="1433"/>
      <c r="T216" s="1396"/>
      <c r="U216" s="1351"/>
      <c r="V216" s="38"/>
      <c r="W216" s="38"/>
      <c r="X216" s="38"/>
      <c r="Y216" s="40"/>
      <c r="Z216" s="43"/>
      <c r="AA216" s="44"/>
      <c r="AB216" s="44">
        <f t="shared" si="2"/>
        <v>0</v>
      </c>
      <c r="AC216" s="38"/>
      <c r="AD216" s="38"/>
      <c r="AE216" s="38"/>
      <c r="AF216" s="38"/>
    </row>
    <row r="217" spans="1:32" ht="15" customHeight="1" thickBot="1" x14ac:dyDescent="0.3">
      <c r="A217" s="1425"/>
      <c r="B217" s="775" t="s">
        <v>454</v>
      </c>
      <c r="C217" s="776"/>
      <c r="D217" s="776"/>
      <c r="E217" s="776"/>
      <c r="F217" s="776"/>
      <c r="G217" s="777"/>
      <c r="H217" s="233" t="s">
        <v>107</v>
      </c>
      <c r="I217" s="874"/>
      <c r="J217" s="1125"/>
      <c r="K217" s="1126"/>
      <c r="L217" s="852"/>
      <c r="M217" s="853"/>
      <c r="N217" s="853"/>
      <c r="O217" s="853"/>
      <c r="P217" s="854"/>
      <c r="Q217" s="1448"/>
      <c r="R217" s="1434"/>
      <c r="S217" s="1435"/>
      <c r="T217" s="1396"/>
      <c r="U217" s="1351"/>
      <c r="V217" s="38"/>
      <c r="W217" s="38"/>
      <c r="X217" s="38"/>
      <c r="Y217" s="40">
        <v>8.0000000000000002E-3</v>
      </c>
      <c r="Z217" s="43">
        <f>IF(H217="ja",Y217,0)</f>
        <v>0</v>
      </c>
      <c r="AA217" s="44"/>
      <c r="AB217" s="44">
        <f t="shared" si="2"/>
        <v>0</v>
      </c>
      <c r="AC217" s="38"/>
      <c r="AD217" s="38"/>
      <c r="AE217" s="38"/>
      <c r="AF217" s="38"/>
    </row>
    <row r="218" spans="1:32" ht="15" customHeight="1" thickBot="1" x14ac:dyDescent="0.3">
      <c r="A218" s="1425"/>
      <c r="B218" s="775" t="s">
        <v>455</v>
      </c>
      <c r="C218" s="776"/>
      <c r="D218" s="776"/>
      <c r="E218" s="776"/>
      <c r="F218" s="776"/>
      <c r="G218" s="777"/>
      <c r="H218" s="233" t="s">
        <v>107</v>
      </c>
      <c r="I218" s="874"/>
      <c r="J218" s="1125"/>
      <c r="K218" s="1126"/>
      <c r="L218" s="1152" t="s">
        <v>456</v>
      </c>
      <c r="M218" s="1153"/>
      <c r="N218" s="1153"/>
      <c r="O218" s="1153"/>
      <c r="P218" s="1154"/>
      <c r="Q218" s="822" t="s">
        <v>107</v>
      </c>
      <c r="R218" s="1430"/>
      <c r="S218" s="1431"/>
      <c r="T218" s="1396"/>
      <c r="U218" s="1351"/>
      <c r="V218" s="38">
        <f>IF(AND(Q218="ja",R218=""),1,0)</f>
        <v>0</v>
      </c>
      <c r="W218" s="38"/>
      <c r="X218" s="38"/>
      <c r="Y218" s="40">
        <v>5.0000000000000001E-3</v>
      </c>
      <c r="Z218" s="43">
        <f>IF(H218="ja",Y218,0)</f>
        <v>0</v>
      </c>
      <c r="AA218" s="44"/>
      <c r="AB218" s="44">
        <f t="shared" si="2"/>
        <v>0</v>
      </c>
      <c r="AC218" s="38"/>
      <c r="AD218" s="38"/>
      <c r="AE218" s="38"/>
      <c r="AF218" s="38"/>
    </row>
    <row r="219" spans="1:32" ht="15" customHeight="1" thickBot="1" x14ac:dyDescent="0.3">
      <c r="A219" s="1425"/>
      <c r="B219" s="1334" t="s">
        <v>457</v>
      </c>
      <c r="C219" s="1335"/>
      <c r="D219" s="1335"/>
      <c r="E219" s="1335"/>
      <c r="F219" s="1335"/>
      <c r="G219" s="1336"/>
      <c r="H219" s="913" t="s">
        <v>107</v>
      </c>
      <c r="I219" s="874"/>
      <c r="J219" s="1125"/>
      <c r="K219" s="1126"/>
      <c r="L219" s="849"/>
      <c r="M219" s="850"/>
      <c r="N219" s="850"/>
      <c r="O219" s="850"/>
      <c r="P219" s="851"/>
      <c r="Q219" s="839"/>
      <c r="R219" s="1432"/>
      <c r="S219" s="1433"/>
      <c r="T219" s="1396"/>
      <c r="U219" s="1351"/>
      <c r="V219" s="38"/>
      <c r="W219" s="38"/>
      <c r="X219" s="38"/>
      <c r="Y219" s="40">
        <v>2.5000000000000001E-2</v>
      </c>
      <c r="Z219" s="43">
        <f>IF(H219="ja",Y219,0)</f>
        <v>0</v>
      </c>
      <c r="AA219" s="44"/>
      <c r="AB219" s="44">
        <f t="shared" si="2"/>
        <v>0</v>
      </c>
      <c r="AC219" s="38"/>
      <c r="AD219" s="38"/>
      <c r="AE219" s="38"/>
      <c r="AF219" s="38"/>
    </row>
    <row r="220" spans="1:32" ht="15" customHeight="1" thickBot="1" x14ac:dyDescent="0.3">
      <c r="A220" s="1425"/>
      <c r="B220" s="1325"/>
      <c r="C220" s="899"/>
      <c r="D220" s="899"/>
      <c r="E220" s="899"/>
      <c r="F220" s="899"/>
      <c r="G220" s="1326"/>
      <c r="H220" s="914"/>
      <c r="I220" s="874"/>
      <c r="J220" s="1125"/>
      <c r="K220" s="1126"/>
      <c r="L220" s="849"/>
      <c r="M220" s="850"/>
      <c r="N220" s="850"/>
      <c r="O220" s="850"/>
      <c r="P220" s="851"/>
      <c r="Q220" s="839"/>
      <c r="R220" s="1432"/>
      <c r="S220" s="1433"/>
      <c r="T220" s="1396"/>
      <c r="U220" s="1351"/>
      <c r="V220" s="38"/>
      <c r="W220" s="38"/>
      <c r="X220" s="38"/>
      <c r="Y220" s="40"/>
      <c r="Z220" s="43"/>
      <c r="AA220" s="44"/>
      <c r="AB220" s="44">
        <f t="shared" si="2"/>
        <v>0</v>
      </c>
      <c r="AC220" s="38"/>
      <c r="AD220" s="38"/>
      <c r="AE220" s="38"/>
      <c r="AF220" s="38"/>
    </row>
    <row r="221" spans="1:32" ht="15" customHeight="1" thickBot="1" x14ac:dyDescent="0.3">
      <c r="A221" s="1425"/>
      <c r="B221" s="1325"/>
      <c r="C221" s="899"/>
      <c r="D221" s="899"/>
      <c r="E221" s="899"/>
      <c r="F221" s="899"/>
      <c r="G221" s="1326"/>
      <c r="H221" s="914"/>
      <c r="I221" s="874"/>
      <c r="J221" s="1125"/>
      <c r="K221" s="1126"/>
      <c r="L221" s="849"/>
      <c r="M221" s="850"/>
      <c r="N221" s="850"/>
      <c r="O221" s="850"/>
      <c r="P221" s="851"/>
      <c r="Q221" s="839"/>
      <c r="R221" s="1432"/>
      <c r="S221" s="1433"/>
      <c r="T221" s="1396"/>
      <c r="U221" s="1351"/>
      <c r="V221" s="38">
        <f>IF(AND(Q221="ja",R221=""),1,0)</f>
        <v>0</v>
      </c>
      <c r="W221" s="38"/>
      <c r="X221" s="38"/>
      <c r="Y221" s="40"/>
      <c r="Z221" s="43"/>
      <c r="AA221" s="44"/>
      <c r="AB221" s="44">
        <f t="shared" si="2"/>
        <v>0</v>
      </c>
      <c r="AC221" s="38"/>
      <c r="AD221" s="38"/>
      <c r="AE221" s="38"/>
      <c r="AF221" s="38"/>
    </row>
    <row r="222" spans="1:32" ht="15" customHeight="1" thickBot="1" x14ac:dyDescent="0.3">
      <c r="A222" s="1425"/>
      <c r="B222" s="1327"/>
      <c r="C222" s="1328"/>
      <c r="D222" s="1328"/>
      <c r="E222" s="1328"/>
      <c r="F222" s="1328"/>
      <c r="G222" s="1329"/>
      <c r="H222" s="996"/>
      <c r="I222" s="874"/>
      <c r="J222" s="1125"/>
      <c r="K222" s="1126"/>
      <c r="L222" s="849"/>
      <c r="M222" s="850"/>
      <c r="N222" s="850"/>
      <c r="O222" s="850"/>
      <c r="P222" s="851"/>
      <c r="Q222" s="839"/>
      <c r="R222" s="1432"/>
      <c r="S222" s="1433"/>
      <c r="T222" s="1396"/>
      <c r="U222" s="1351"/>
      <c r="V222" s="38"/>
      <c r="W222" s="38"/>
      <c r="X222" s="38"/>
      <c r="Y222" s="40"/>
      <c r="Z222" s="43"/>
      <c r="AA222" s="44"/>
      <c r="AB222" s="44">
        <f t="shared" si="2"/>
        <v>0</v>
      </c>
      <c r="AC222" s="38"/>
      <c r="AD222" s="38"/>
      <c r="AE222" s="38"/>
      <c r="AF222" s="38"/>
    </row>
    <row r="223" spans="1:32" ht="15" customHeight="1" thickBot="1" x14ac:dyDescent="0.3">
      <c r="A223" s="1425"/>
      <c r="B223" s="775" t="s">
        <v>458</v>
      </c>
      <c r="C223" s="776"/>
      <c r="D223" s="776"/>
      <c r="E223" s="776"/>
      <c r="F223" s="776"/>
      <c r="G223" s="777"/>
      <c r="H223" s="233" t="s">
        <v>107</v>
      </c>
      <c r="I223" s="874"/>
      <c r="J223" s="1125"/>
      <c r="K223" s="1126"/>
      <c r="L223" s="849"/>
      <c r="M223" s="850"/>
      <c r="N223" s="850"/>
      <c r="O223" s="850"/>
      <c r="P223" s="851"/>
      <c r="Q223" s="839"/>
      <c r="R223" s="1432"/>
      <c r="S223" s="1433"/>
      <c r="T223" s="1396"/>
      <c r="U223" s="1351"/>
      <c r="V223" s="38"/>
      <c r="W223" s="38"/>
      <c r="X223" s="38"/>
      <c r="Y223" s="40">
        <v>1E-3</v>
      </c>
      <c r="Z223" s="43">
        <f>IF(H223="ja",Y223,0)</f>
        <v>0</v>
      </c>
      <c r="AA223" s="44"/>
      <c r="AB223" s="44">
        <f t="shared" si="2"/>
        <v>0</v>
      </c>
      <c r="AC223" s="38"/>
      <c r="AD223" s="38"/>
      <c r="AE223" s="38"/>
      <c r="AF223" s="38"/>
    </row>
    <row r="224" spans="1:32" ht="15" customHeight="1" thickBot="1" x14ac:dyDescent="0.3">
      <c r="A224" s="1425"/>
      <c r="B224" s="1334" t="s">
        <v>459</v>
      </c>
      <c r="C224" s="1335"/>
      <c r="D224" s="1335"/>
      <c r="E224" s="1335"/>
      <c r="F224" s="1335"/>
      <c r="G224" s="1336"/>
      <c r="H224" s="913" t="s">
        <v>107</v>
      </c>
      <c r="I224" s="874"/>
      <c r="J224" s="1125"/>
      <c r="K224" s="1126"/>
      <c r="L224" s="849"/>
      <c r="M224" s="850"/>
      <c r="N224" s="850"/>
      <c r="O224" s="850"/>
      <c r="P224" s="851"/>
      <c r="Q224" s="839"/>
      <c r="R224" s="1432"/>
      <c r="S224" s="1433"/>
      <c r="T224" s="1396"/>
      <c r="U224" s="1351"/>
      <c r="V224" s="38">
        <f>IF(AND(Q224="ja",R224=""),1,0)</f>
        <v>0</v>
      </c>
      <c r="W224" s="38"/>
      <c r="X224" s="38"/>
      <c r="Y224" s="40">
        <v>7.4999999999999997E-3</v>
      </c>
      <c r="Z224" s="43">
        <f>IF(H224="ja",Y224,0)</f>
        <v>0</v>
      </c>
      <c r="AA224" s="44"/>
      <c r="AB224" s="44">
        <f t="shared" si="2"/>
        <v>0</v>
      </c>
      <c r="AC224" s="38"/>
      <c r="AD224" s="38"/>
      <c r="AE224" s="38"/>
      <c r="AF224" s="38"/>
    </row>
    <row r="225" spans="1:32" ht="15" customHeight="1" thickBot="1" x14ac:dyDescent="0.3">
      <c r="A225" s="1425"/>
      <c r="B225" s="1325"/>
      <c r="C225" s="899"/>
      <c r="D225" s="899"/>
      <c r="E225" s="899"/>
      <c r="F225" s="899"/>
      <c r="G225" s="1326"/>
      <c r="H225" s="914"/>
      <c r="I225" s="874"/>
      <c r="J225" s="1125"/>
      <c r="K225" s="1126"/>
      <c r="L225" s="849"/>
      <c r="M225" s="850"/>
      <c r="N225" s="850"/>
      <c r="O225" s="850"/>
      <c r="P225" s="851"/>
      <c r="Q225" s="839"/>
      <c r="R225" s="1432"/>
      <c r="S225" s="1433"/>
      <c r="T225" s="1396"/>
      <c r="U225" s="1351"/>
      <c r="V225" s="38"/>
      <c r="W225" s="38"/>
      <c r="X225" s="38"/>
      <c r="Y225" s="40"/>
      <c r="Z225" s="43"/>
      <c r="AA225" s="44"/>
      <c r="AB225" s="44">
        <f t="shared" si="2"/>
        <v>0</v>
      </c>
      <c r="AC225" s="38"/>
      <c r="AD225" s="38"/>
      <c r="AE225" s="38"/>
      <c r="AF225" s="38"/>
    </row>
    <row r="226" spans="1:32" ht="15" customHeight="1" thickBot="1" x14ac:dyDescent="0.3">
      <c r="A226" s="1425"/>
      <c r="B226" s="1325"/>
      <c r="C226" s="899"/>
      <c r="D226" s="899"/>
      <c r="E226" s="899"/>
      <c r="F226" s="899"/>
      <c r="G226" s="1326"/>
      <c r="H226" s="914"/>
      <c r="I226" s="874"/>
      <c r="J226" s="1125"/>
      <c r="K226" s="1126"/>
      <c r="L226" s="852"/>
      <c r="M226" s="853"/>
      <c r="N226" s="853"/>
      <c r="O226" s="853"/>
      <c r="P226" s="854"/>
      <c r="Q226" s="823"/>
      <c r="R226" s="1434"/>
      <c r="S226" s="1435"/>
      <c r="T226" s="1396"/>
      <c r="U226" s="1351"/>
      <c r="V226" s="38"/>
      <c r="W226" s="38"/>
      <c r="X226" s="38"/>
      <c r="Y226" s="40"/>
      <c r="Z226" s="43"/>
      <c r="AA226" s="44"/>
      <c r="AB226" s="44">
        <f t="shared" si="2"/>
        <v>0</v>
      </c>
      <c r="AC226" s="38"/>
      <c r="AD226" s="38"/>
      <c r="AE226" s="38"/>
      <c r="AF226" s="38"/>
    </row>
    <row r="227" spans="1:32" ht="15" customHeight="1" thickBot="1" x14ac:dyDescent="0.3">
      <c r="A227" s="1425"/>
      <c r="B227" s="1327"/>
      <c r="C227" s="1328"/>
      <c r="D227" s="1328"/>
      <c r="E227" s="1328"/>
      <c r="F227" s="1328"/>
      <c r="G227" s="1329"/>
      <c r="H227" s="996"/>
      <c r="I227" s="874"/>
      <c r="J227" s="1125"/>
      <c r="K227" s="1126"/>
      <c r="L227" s="807" t="s">
        <v>274</v>
      </c>
      <c r="M227" s="808"/>
      <c r="N227" s="808"/>
      <c r="O227" s="808"/>
      <c r="P227" s="808"/>
      <c r="Q227" s="798" t="s">
        <v>107</v>
      </c>
      <c r="R227" s="1352"/>
      <c r="S227" s="1353"/>
      <c r="T227" s="1396"/>
      <c r="U227" s="1351"/>
      <c r="V227" s="38">
        <f>IF(AND(Q227="ja",R227=""),1,0)</f>
        <v>0</v>
      </c>
      <c r="W227" s="38"/>
      <c r="X227" s="38"/>
      <c r="Y227" s="40"/>
      <c r="Z227" s="43"/>
      <c r="AA227" s="44"/>
      <c r="AB227" s="44">
        <f t="shared" si="2"/>
        <v>0</v>
      </c>
      <c r="AC227" s="38"/>
      <c r="AD227" s="38"/>
      <c r="AE227" s="38"/>
      <c r="AF227" s="38"/>
    </row>
    <row r="228" spans="1:32" ht="15" customHeight="1" thickBot="1" x14ac:dyDescent="0.3">
      <c r="A228" s="1425"/>
      <c r="B228" s="1334" t="s">
        <v>460</v>
      </c>
      <c r="C228" s="1335"/>
      <c r="D228" s="1335"/>
      <c r="E228" s="1335"/>
      <c r="F228" s="1335"/>
      <c r="G228" s="1336"/>
      <c r="H228" s="913" t="s">
        <v>107</v>
      </c>
      <c r="I228" s="874"/>
      <c r="J228" s="1125"/>
      <c r="K228" s="1126"/>
      <c r="L228" s="807"/>
      <c r="M228" s="808"/>
      <c r="N228" s="808"/>
      <c r="O228" s="808"/>
      <c r="P228" s="808"/>
      <c r="Q228" s="798"/>
      <c r="R228" s="1352"/>
      <c r="S228" s="1353"/>
      <c r="T228" s="1396"/>
      <c r="U228" s="1351"/>
      <c r="V228" s="38"/>
      <c r="W228" s="38"/>
      <c r="X228" s="38"/>
      <c r="Y228" s="40">
        <v>1E-3</v>
      </c>
      <c r="Z228" s="43">
        <f>IF(H228="ja",Y228,0)</f>
        <v>0</v>
      </c>
      <c r="AA228" s="44"/>
      <c r="AB228" s="44">
        <f t="shared" si="2"/>
        <v>0</v>
      </c>
      <c r="AC228" s="38"/>
      <c r="AD228" s="38"/>
      <c r="AE228" s="38"/>
      <c r="AF228" s="38"/>
    </row>
    <row r="229" spans="1:32" ht="15" customHeight="1" thickBot="1" x14ac:dyDescent="0.3">
      <c r="A229" s="1425"/>
      <c r="B229" s="1327"/>
      <c r="C229" s="1328"/>
      <c r="D229" s="1328"/>
      <c r="E229" s="1328"/>
      <c r="F229" s="1328"/>
      <c r="G229" s="1329"/>
      <c r="H229" s="996"/>
      <c r="I229" s="874"/>
      <c r="J229" s="1125"/>
      <c r="K229" s="1126"/>
      <c r="L229" s="807"/>
      <c r="M229" s="808"/>
      <c r="N229" s="808"/>
      <c r="O229" s="808"/>
      <c r="P229" s="808"/>
      <c r="Q229" s="798"/>
      <c r="R229" s="1352"/>
      <c r="S229" s="1353"/>
      <c r="T229" s="1396"/>
      <c r="U229" s="1351"/>
      <c r="V229" s="38"/>
      <c r="W229" s="38"/>
      <c r="X229" s="38"/>
      <c r="Y229" s="40"/>
      <c r="Z229" s="43"/>
      <c r="AA229" s="44"/>
      <c r="AB229" s="44">
        <f t="shared" si="2"/>
        <v>0</v>
      </c>
      <c r="AC229" s="38"/>
      <c r="AD229" s="38"/>
      <c r="AE229" s="38"/>
      <c r="AF229" s="38"/>
    </row>
    <row r="230" spans="1:32" ht="15" customHeight="1" thickBot="1" x14ac:dyDescent="0.3">
      <c r="A230" s="1425"/>
      <c r="B230" s="1334" t="s">
        <v>291</v>
      </c>
      <c r="C230" s="1335"/>
      <c r="D230" s="1335"/>
      <c r="E230" s="1335"/>
      <c r="F230" s="1335"/>
      <c r="G230" s="1336"/>
      <c r="H230" s="913" t="s">
        <v>107</v>
      </c>
      <c r="I230" s="874"/>
      <c r="J230" s="1125"/>
      <c r="K230" s="1126"/>
      <c r="L230" s="1152" t="s">
        <v>284</v>
      </c>
      <c r="M230" s="1153"/>
      <c r="N230" s="1153"/>
      <c r="O230" s="1153"/>
      <c r="P230" s="1154"/>
      <c r="Q230" s="822" t="s">
        <v>107</v>
      </c>
      <c r="R230" s="1430"/>
      <c r="S230" s="1431"/>
      <c r="T230" s="1396"/>
      <c r="U230" s="1351"/>
      <c r="V230" s="38">
        <f>IF(AND(Q230="ja",R230=""),1,0)</f>
        <v>0</v>
      </c>
      <c r="W230" s="38"/>
      <c r="X230" s="38"/>
      <c r="Y230" s="40">
        <v>1.4999999999999999E-2</v>
      </c>
      <c r="Z230" s="43">
        <f>IF(H230="ja",Y230,0)</f>
        <v>0</v>
      </c>
      <c r="AA230" s="44"/>
      <c r="AB230" s="44">
        <f t="shared" si="2"/>
        <v>0</v>
      </c>
      <c r="AC230" s="38"/>
      <c r="AD230" s="38"/>
      <c r="AE230" s="38"/>
      <c r="AF230" s="38"/>
    </row>
    <row r="231" spans="1:32" ht="15" customHeight="1" thickBot="1" x14ac:dyDescent="0.3">
      <c r="A231" s="1425"/>
      <c r="B231" s="1327"/>
      <c r="C231" s="1328"/>
      <c r="D231" s="1328"/>
      <c r="E231" s="1328"/>
      <c r="F231" s="1328"/>
      <c r="G231" s="1329"/>
      <c r="H231" s="996"/>
      <c r="I231" s="874"/>
      <c r="J231" s="1125"/>
      <c r="K231" s="1126"/>
      <c r="L231" s="849"/>
      <c r="M231" s="850"/>
      <c r="N231" s="850"/>
      <c r="O231" s="850"/>
      <c r="P231" s="851"/>
      <c r="Q231" s="839"/>
      <c r="R231" s="1432"/>
      <c r="S231" s="1433"/>
      <c r="T231" s="1396"/>
      <c r="U231" s="1351"/>
      <c r="V231" s="38"/>
      <c r="W231" s="38"/>
      <c r="X231" s="38"/>
      <c r="Y231" s="40"/>
      <c r="Z231" s="43"/>
      <c r="AA231" s="44"/>
      <c r="AB231" s="44">
        <f t="shared" si="2"/>
        <v>0</v>
      </c>
      <c r="AC231" s="38"/>
      <c r="AD231" s="38"/>
      <c r="AE231" s="38"/>
      <c r="AF231" s="38"/>
    </row>
    <row r="232" spans="1:32" ht="15" customHeight="1" thickBot="1" x14ac:dyDescent="0.3">
      <c r="A232" s="1425"/>
      <c r="B232" s="1334" t="s">
        <v>461</v>
      </c>
      <c r="C232" s="1335"/>
      <c r="D232" s="1335"/>
      <c r="E232" s="1335"/>
      <c r="F232" s="1335"/>
      <c r="G232" s="1336"/>
      <c r="H232" s="913" t="s">
        <v>107</v>
      </c>
      <c r="I232" s="874"/>
      <c r="J232" s="1125"/>
      <c r="K232" s="1126"/>
      <c r="L232" s="849"/>
      <c r="M232" s="850"/>
      <c r="N232" s="850"/>
      <c r="O232" s="850"/>
      <c r="P232" s="851"/>
      <c r="Q232" s="839"/>
      <c r="R232" s="1432"/>
      <c r="S232" s="1433"/>
      <c r="T232" s="1396"/>
      <c r="U232" s="1351"/>
      <c r="V232" s="38"/>
      <c r="W232" s="38"/>
      <c r="X232" s="38"/>
      <c r="Y232" s="40">
        <v>1E-3</v>
      </c>
      <c r="Z232" s="43">
        <f>IF(H232="ja",Y232,0)</f>
        <v>0</v>
      </c>
      <c r="AA232" s="43"/>
      <c r="AB232" s="44">
        <f t="shared" ref="AB232:AB243" si="3">IF(Q232="ja",1,0)</f>
        <v>0</v>
      </c>
      <c r="AC232" s="38"/>
      <c r="AD232" s="38"/>
      <c r="AE232" s="38"/>
      <c r="AF232" s="38"/>
    </row>
    <row r="233" spans="1:32" ht="15" customHeight="1" thickBot="1" x14ac:dyDescent="0.3">
      <c r="A233" s="1425"/>
      <c r="B233" s="1325"/>
      <c r="C233" s="899"/>
      <c r="D233" s="899"/>
      <c r="E233" s="899"/>
      <c r="F233" s="899"/>
      <c r="G233" s="1326"/>
      <c r="H233" s="914"/>
      <c r="I233" s="874"/>
      <c r="J233" s="1125"/>
      <c r="K233" s="1126"/>
      <c r="L233" s="849"/>
      <c r="M233" s="850"/>
      <c r="N233" s="850"/>
      <c r="O233" s="850"/>
      <c r="P233" s="851"/>
      <c r="Q233" s="839"/>
      <c r="R233" s="1432"/>
      <c r="S233" s="1433"/>
      <c r="T233" s="1396"/>
      <c r="U233" s="1351"/>
      <c r="V233" s="38">
        <f>IF(AND(Q233="ja",R233=""),1,0)</f>
        <v>0</v>
      </c>
      <c r="W233" s="38"/>
      <c r="X233" s="38"/>
      <c r="Y233" s="40"/>
      <c r="Z233" s="43"/>
      <c r="AA233" s="44"/>
      <c r="AB233" s="44">
        <f t="shared" si="3"/>
        <v>0</v>
      </c>
      <c r="AC233" s="38"/>
      <c r="AD233" s="38"/>
      <c r="AE233" s="38"/>
      <c r="AF233" s="38"/>
    </row>
    <row r="234" spans="1:32" ht="15" customHeight="1" thickBot="1" x14ac:dyDescent="0.3">
      <c r="A234" s="1425"/>
      <c r="B234" s="1327"/>
      <c r="C234" s="1328"/>
      <c r="D234" s="1328"/>
      <c r="E234" s="1328"/>
      <c r="F234" s="1328"/>
      <c r="G234" s="1329"/>
      <c r="H234" s="996"/>
      <c r="I234" s="875"/>
      <c r="J234" s="1127"/>
      <c r="K234" s="1128"/>
      <c r="L234" s="1449"/>
      <c r="M234" s="1450"/>
      <c r="N234" s="1450"/>
      <c r="O234" s="1450"/>
      <c r="P234" s="1451"/>
      <c r="Q234" s="1122"/>
      <c r="R234" s="1452"/>
      <c r="S234" s="1453"/>
      <c r="T234" s="1397"/>
      <c r="U234" s="1351"/>
      <c r="V234" s="38"/>
      <c r="W234" s="38"/>
      <c r="X234" s="38"/>
      <c r="Y234" s="40"/>
      <c r="Z234" s="43"/>
      <c r="AA234" s="44"/>
      <c r="AB234" s="44">
        <f t="shared" si="3"/>
        <v>0</v>
      </c>
      <c r="AC234" s="38"/>
      <c r="AD234" s="38"/>
      <c r="AE234" s="38"/>
      <c r="AF234" s="38"/>
    </row>
    <row r="235" spans="1:32" ht="14.55" thickBot="1" x14ac:dyDescent="0.3">
      <c r="A235" s="1425"/>
      <c r="B235" s="1371" t="s">
        <v>293</v>
      </c>
      <c r="C235" s="1372"/>
      <c r="D235" s="1372"/>
      <c r="E235" s="1372"/>
      <c r="F235" s="1372"/>
      <c r="G235" s="1426"/>
      <c r="H235" s="256"/>
      <c r="I235" s="793"/>
      <c r="J235" s="794"/>
      <c r="K235" s="794"/>
      <c r="L235" s="1361">
        <f>SUM(R194:S234)</f>
        <v>0</v>
      </c>
      <c r="M235" s="1362"/>
      <c r="N235" s="1362"/>
      <c r="O235" s="1362"/>
      <c r="P235" s="1362"/>
      <c r="Q235" s="252"/>
      <c r="R235" s="1363"/>
      <c r="S235" s="1364"/>
      <c r="U235" s="249"/>
      <c r="V235" s="38"/>
      <c r="W235" s="38"/>
      <c r="X235" s="38"/>
      <c r="Y235" s="40"/>
      <c r="Z235" s="98">
        <f>SUM(Z194:Z232)</f>
        <v>0</v>
      </c>
      <c r="AA235" s="44"/>
      <c r="AB235" s="44">
        <f t="shared" si="3"/>
        <v>0</v>
      </c>
      <c r="AC235" s="38"/>
      <c r="AD235" s="38"/>
      <c r="AE235" s="38"/>
      <c r="AF235" s="38"/>
    </row>
    <row r="236" spans="1:32" ht="15" customHeight="1" thickBot="1" x14ac:dyDescent="0.3">
      <c r="A236" s="1425"/>
      <c r="B236" s="1341" t="s">
        <v>295</v>
      </c>
      <c r="C236" s="1342"/>
      <c r="D236" s="1342"/>
      <c r="E236" s="1342"/>
      <c r="F236" s="1342"/>
      <c r="G236" s="1343"/>
      <c r="H236" s="995" t="s">
        <v>107</v>
      </c>
      <c r="I236" s="873">
        <f>Z245</f>
        <v>0</v>
      </c>
      <c r="J236" s="1123">
        <f>I236*I115</f>
        <v>0</v>
      </c>
      <c r="K236" s="1124"/>
      <c r="L236" s="807"/>
      <c r="M236" s="808"/>
      <c r="N236" s="808"/>
      <c r="O236" s="808"/>
      <c r="P236" s="808"/>
      <c r="Q236" s="798" t="s">
        <v>107</v>
      </c>
      <c r="R236" s="1352"/>
      <c r="S236" s="1353"/>
      <c r="T236" s="1395" t="str">
        <f>IFERROR(IF((VLOOKUP(U236,Überblick!$M$124:$N$132,2))="ja","ja","nein"),"")</f>
        <v/>
      </c>
      <c r="U236" s="1351"/>
      <c r="V236" s="38">
        <f>IF(AND(Q236="ja",R236=""),1,0)</f>
        <v>0</v>
      </c>
      <c r="W236" s="38"/>
      <c r="X236" s="38"/>
      <c r="Y236" s="40">
        <v>5.0000000000000001E-3</v>
      </c>
      <c r="Z236" s="43">
        <f>IF(H236="ja",Y236,0)</f>
        <v>0</v>
      </c>
      <c r="AA236" s="44"/>
      <c r="AB236" s="44">
        <f t="shared" si="3"/>
        <v>0</v>
      </c>
      <c r="AC236" s="38">
        <f>IF(AND(I236+SUM(V236:V244)&gt;0,U236=""),1,0)</f>
        <v>0</v>
      </c>
      <c r="AD236" s="38"/>
      <c r="AE236" s="38"/>
      <c r="AF236" s="38"/>
    </row>
    <row r="237" spans="1:32" ht="15" customHeight="1" thickBot="1" x14ac:dyDescent="0.3">
      <c r="A237" s="1425"/>
      <c r="B237" s="1325"/>
      <c r="C237" s="899"/>
      <c r="D237" s="899"/>
      <c r="E237" s="899"/>
      <c r="F237" s="899"/>
      <c r="G237" s="1326"/>
      <c r="H237" s="914"/>
      <c r="I237" s="874"/>
      <c r="J237" s="1125"/>
      <c r="K237" s="1126"/>
      <c r="L237" s="807"/>
      <c r="M237" s="808"/>
      <c r="N237" s="808"/>
      <c r="O237" s="808"/>
      <c r="P237" s="808"/>
      <c r="Q237" s="798"/>
      <c r="R237" s="1352"/>
      <c r="S237" s="1353"/>
      <c r="T237" s="1396"/>
      <c r="U237" s="1351"/>
      <c r="V237" s="38"/>
      <c r="W237" s="38"/>
      <c r="X237" s="38"/>
      <c r="Y237" s="40"/>
      <c r="Z237" s="43"/>
      <c r="AA237" s="44"/>
      <c r="AB237" s="44">
        <f t="shared" si="3"/>
        <v>0</v>
      </c>
      <c r="AC237" s="38"/>
      <c r="AD237" s="38"/>
      <c r="AE237" s="38"/>
      <c r="AF237" s="38"/>
    </row>
    <row r="238" spans="1:32" ht="15" customHeight="1" thickBot="1" x14ac:dyDescent="0.3">
      <c r="A238" s="1425"/>
      <c r="B238" s="1325"/>
      <c r="C238" s="899"/>
      <c r="D238" s="899"/>
      <c r="E238" s="899"/>
      <c r="F238" s="899"/>
      <c r="G238" s="1326"/>
      <c r="H238" s="914"/>
      <c r="I238" s="874"/>
      <c r="J238" s="1125"/>
      <c r="K238" s="1126"/>
      <c r="L238" s="807"/>
      <c r="M238" s="808"/>
      <c r="N238" s="808"/>
      <c r="O238" s="808"/>
      <c r="P238" s="808"/>
      <c r="Q238" s="798"/>
      <c r="R238" s="1352"/>
      <c r="S238" s="1353"/>
      <c r="T238" s="1396"/>
      <c r="U238" s="1351"/>
      <c r="V238" s="38"/>
      <c r="W238" s="38"/>
      <c r="X238" s="38"/>
      <c r="Y238" s="40"/>
      <c r="Z238" s="43"/>
      <c r="AA238" s="44"/>
      <c r="AB238" s="44">
        <f t="shared" si="3"/>
        <v>0</v>
      </c>
      <c r="AC238" s="38"/>
      <c r="AD238" s="38"/>
      <c r="AE238" s="38"/>
      <c r="AF238" s="38"/>
    </row>
    <row r="239" spans="1:32" ht="15" customHeight="1" thickBot="1" x14ac:dyDescent="0.3">
      <c r="A239" s="1425"/>
      <c r="B239" s="1325"/>
      <c r="C239" s="899"/>
      <c r="D239" s="899"/>
      <c r="E239" s="899"/>
      <c r="F239" s="899"/>
      <c r="G239" s="1326"/>
      <c r="H239" s="914"/>
      <c r="I239" s="874"/>
      <c r="J239" s="1125"/>
      <c r="K239" s="1126"/>
      <c r="L239" s="807"/>
      <c r="M239" s="808"/>
      <c r="N239" s="808"/>
      <c r="O239" s="808"/>
      <c r="P239" s="808"/>
      <c r="Q239" s="798" t="s">
        <v>107</v>
      </c>
      <c r="R239" s="1352"/>
      <c r="S239" s="1353"/>
      <c r="T239" s="1396"/>
      <c r="U239" s="1351"/>
      <c r="V239" s="38">
        <f>IF(AND(Q239="ja",R239=""),1,0)</f>
        <v>0</v>
      </c>
      <c r="W239" s="38"/>
      <c r="X239" s="38"/>
      <c r="Y239" s="40"/>
      <c r="Z239" s="43"/>
      <c r="AA239" s="44"/>
      <c r="AB239" s="44">
        <f t="shared" si="3"/>
        <v>0</v>
      </c>
      <c r="AC239" s="38"/>
      <c r="AD239" s="38"/>
      <c r="AE239" s="38"/>
      <c r="AF239" s="38"/>
    </row>
    <row r="240" spans="1:32" ht="15" customHeight="1" thickBot="1" x14ac:dyDescent="0.3">
      <c r="A240" s="1425"/>
      <c r="B240" s="1327"/>
      <c r="C240" s="1328"/>
      <c r="D240" s="1328"/>
      <c r="E240" s="1328"/>
      <c r="F240" s="1328"/>
      <c r="G240" s="1329"/>
      <c r="H240" s="996"/>
      <c r="I240" s="874"/>
      <c r="J240" s="1125"/>
      <c r="K240" s="1126"/>
      <c r="L240" s="807"/>
      <c r="M240" s="808"/>
      <c r="N240" s="808"/>
      <c r="O240" s="808"/>
      <c r="P240" s="808"/>
      <c r="Q240" s="798"/>
      <c r="R240" s="1352"/>
      <c r="S240" s="1353"/>
      <c r="T240" s="1396"/>
      <c r="U240" s="1351"/>
      <c r="V240" s="38"/>
      <c r="W240" s="38"/>
      <c r="X240" s="38"/>
      <c r="Y240" s="40"/>
      <c r="Z240" s="43"/>
      <c r="AA240" s="44"/>
      <c r="AB240" s="44">
        <f t="shared" si="3"/>
        <v>0</v>
      </c>
      <c r="AC240" s="38"/>
      <c r="AD240" s="38"/>
      <c r="AE240" s="38"/>
      <c r="AF240" s="38"/>
    </row>
    <row r="241" spans="1:32" ht="15" customHeight="1" thickBot="1" x14ac:dyDescent="0.3">
      <c r="A241" s="1425"/>
      <c r="B241" s="1334" t="s">
        <v>296</v>
      </c>
      <c r="C241" s="1335"/>
      <c r="D241" s="1335"/>
      <c r="E241" s="1335"/>
      <c r="F241" s="1335"/>
      <c r="G241" s="1336"/>
      <c r="H241" s="913" t="s">
        <v>107</v>
      </c>
      <c r="I241" s="874"/>
      <c r="J241" s="1125"/>
      <c r="K241" s="1126"/>
      <c r="L241" s="807"/>
      <c r="M241" s="808"/>
      <c r="N241" s="808"/>
      <c r="O241" s="808"/>
      <c r="P241" s="808"/>
      <c r="Q241" s="798"/>
      <c r="R241" s="1352"/>
      <c r="S241" s="1353"/>
      <c r="T241" s="1396"/>
      <c r="U241" s="1351"/>
      <c r="V241" s="38"/>
      <c r="W241" s="38"/>
      <c r="X241" s="38"/>
      <c r="Y241" s="40">
        <v>4.0000000000000001E-3</v>
      </c>
      <c r="Z241" s="43">
        <f>IF(H241="ja",Y241,0)</f>
        <v>0</v>
      </c>
      <c r="AA241" s="44"/>
      <c r="AB241" s="44">
        <f t="shared" si="3"/>
        <v>0</v>
      </c>
      <c r="AC241" s="38"/>
      <c r="AD241" s="38"/>
      <c r="AE241" s="38"/>
      <c r="AF241" s="38"/>
    </row>
    <row r="242" spans="1:32" ht="15" customHeight="1" thickBot="1" x14ac:dyDescent="0.3">
      <c r="A242" s="1425"/>
      <c r="B242" s="1325"/>
      <c r="C242" s="899"/>
      <c r="D242" s="899"/>
      <c r="E242" s="899"/>
      <c r="F242" s="899"/>
      <c r="G242" s="1326"/>
      <c r="H242" s="914"/>
      <c r="I242" s="874"/>
      <c r="J242" s="1125"/>
      <c r="K242" s="1126"/>
      <c r="L242" s="807"/>
      <c r="M242" s="808"/>
      <c r="N242" s="808"/>
      <c r="O242" s="808"/>
      <c r="P242" s="808"/>
      <c r="Q242" s="798" t="s">
        <v>107</v>
      </c>
      <c r="R242" s="1352"/>
      <c r="S242" s="1353"/>
      <c r="T242" s="1396"/>
      <c r="U242" s="1351"/>
      <c r="V242" s="38">
        <f>IF(AND(Q242="ja",R242=""),1,0)</f>
        <v>0</v>
      </c>
      <c r="W242" s="38"/>
      <c r="X242" s="38"/>
      <c r="Y242" s="40"/>
      <c r="Z242" s="43"/>
      <c r="AA242" s="38"/>
      <c r="AB242" s="44">
        <f t="shared" si="3"/>
        <v>0</v>
      </c>
      <c r="AC242" s="38"/>
      <c r="AD242" s="38"/>
      <c r="AE242" s="38"/>
      <c r="AF242" s="38"/>
    </row>
    <row r="243" spans="1:32" ht="15" customHeight="1" thickBot="1" x14ac:dyDescent="0.3">
      <c r="A243" s="1425"/>
      <c r="B243" s="1327"/>
      <c r="C243" s="1328"/>
      <c r="D243" s="1328"/>
      <c r="E243" s="1328"/>
      <c r="F243" s="1328"/>
      <c r="G243" s="1329"/>
      <c r="H243" s="996"/>
      <c r="I243" s="874"/>
      <c r="J243" s="1125"/>
      <c r="K243" s="1126"/>
      <c r="L243" s="807"/>
      <c r="M243" s="808"/>
      <c r="N243" s="808"/>
      <c r="O243" s="808"/>
      <c r="P243" s="808"/>
      <c r="Q243" s="798"/>
      <c r="R243" s="1352"/>
      <c r="S243" s="1353"/>
      <c r="T243" s="1396"/>
      <c r="U243" s="1351"/>
      <c r="V243" s="38"/>
      <c r="W243" s="38"/>
      <c r="X243" s="38"/>
      <c r="Y243" s="40"/>
      <c r="Z243" s="43"/>
      <c r="AA243" s="38"/>
      <c r="AB243" s="44">
        <f t="shared" si="3"/>
        <v>0</v>
      </c>
      <c r="AC243" s="38"/>
      <c r="AD243" s="38"/>
      <c r="AE243" s="38"/>
      <c r="AF243" s="38"/>
    </row>
    <row r="244" spans="1:32" ht="15" customHeight="1" thickBot="1" x14ac:dyDescent="0.3">
      <c r="A244" s="1425"/>
      <c r="B244" s="1005" t="s">
        <v>297</v>
      </c>
      <c r="C244" s="1006"/>
      <c r="D244" s="1006"/>
      <c r="E244" s="1006"/>
      <c r="F244" s="1006"/>
      <c r="G244" s="1007"/>
      <c r="H244" s="234" t="s">
        <v>107</v>
      </c>
      <c r="I244" s="875"/>
      <c r="J244" s="1127"/>
      <c r="K244" s="1128"/>
      <c r="L244" s="844"/>
      <c r="M244" s="845"/>
      <c r="N244" s="845"/>
      <c r="O244" s="845"/>
      <c r="P244" s="845"/>
      <c r="Q244" s="822"/>
      <c r="R244" s="1365"/>
      <c r="S244" s="1366"/>
      <c r="T244" s="1397"/>
      <c r="U244" s="1351"/>
      <c r="V244" s="38"/>
      <c r="W244" s="38"/>
      <c r="X244" s="38"/>
      <c r="Y244" s="40">
        <v>1E-3</v>
      </c>
      <c r="Z244" s="43">
        <f>IF(H244="ja",Y244,0)</f>
        <v>0</v>
      </c>
      <c r="AA244" s="38"/>
      <c r="AB244" s="38"/>
      <c r="AC244" s="38"/>
      <c r="AD244" s="38"/>
      <c r="AE244" s="38"/>
      <c r="AF244" s="38"/>
    </row>
    <row r="245" spans="1:32" ht="14.55" thickBot="1" x14ac:dyDescent="0.3">
      <c r="B245" s="1454" t="s">
        <v>298</v>
      </c>
      <c r="C245" s="1455"/>
      <c r="D245" s="1455"/>
      <c r="E245" s="1455"/>
      <c r="F245" s="1455"/>
      <c r="G245" s="1455"/>
      <c r="H245" s="1455"/>
      <c r="I245" s="1458">
        <f>I236+I194+I179+I154+I128+I119+I82+I55+I39+I133+I143+I144+I145+I150</f>
        <v>0</v>
      </c>
      <c r="J245" s="1460">
        <f>J236+J194+J179+J154+J128+J119+J82+J55+J39+J133+J143+J144+J145+J150</f>
        <v>0</v>
      </c>
      <c r="K245" s="1061"/>
      <c r="L245" s="930">
        <f>SUM(R236:S244)</f>
        <v>0</v>
      </c>
      <c r="M245" s="931"/>
      <c r="N245" s="931"/>
      <c r="O245" s="931"/>
      <c r="P245" s="1462"/>
      <c r="Q245" s="911"/>
      <c r="R245" s="1464">
        <f>SUM(R236:S244)+SUM(R194:S234)+SUM(R179:S192)+SUM(R154:S177)+SUM(R128:S152)+SUM(R119:S126)+SUM(R82:S114)+SUM(R55:S77)+SUM(R39:S53)</f>
        <v>0</v>
      </c>
      <c r="S245" s="1131"/>
      <c r="T245" s="1367"/>
      <c r="U245" s="1370"/>
      <c r="V245" s="38"/>
      <c r="W245" s="38"/>
      <c r="X245" s="38"/>
      <c r="Y245" s="38"/>
      <c r="Z245" s="98">
        <f>SUM(Z236:Z244)</f>
        <v>0</v>
      </c>
      <c r="AA245" s="38"/>
      <c r="AB245" s="38">
        <f>SUM(AB39:AB243)</f>
        <v>0</v>
      </c>
      <c r="AC245" s="38"/>
      <c r="AD245" s="38"/>
      <c r="AE245" s="38"/>
      <c r="AF245" s="38"/>
    </row>
    <row r="246" spans="1:32" ht="15" customHeight="1" thickBot="1" x14ac:dyDescent="0.3">
      <c r="B246" s="1456"/>
      <c r="C246" s="1457"/>
      <c r="D246" s="1457"/>
      <c r="E246" s="1457"/>
      <c r="F246" s="1457"/>
      <c r="G246" s="1457"/>
      <c r="H246" s="1457"/>
      <c r="I246" s="1459"/>
      <c r="J246" s="1461"/>
      <c r="K246" s="1063"/>
      <c r="L246" s="934"/>
      <c r="M246" s="935"/>
      <c r="N246" s="935"/>
      <c r="O246" s="935"/>
      <c r="P246" s="1463"/>
      <c r="Q246" s="912"/>
      <c r="R246" s="1465"/>
      <c r="S246" s="1133"/>
      <c r="T246" s="1369"/>
      <c r="U246" s="1370"/>
      <c r="V246" s="38">
        <f>SUM(V39:V244)+R23</f>
        <v>0</v>
      </c>
      <c r="W246" s="38"/>
      <c r="X246" s="38"/>
      <c r="Y246" s="38"/>
      <c r="Z246" s="38"/>
      <c r="AA246" s="38"/>
      <c r="AB246" s="38"/>
      <c r="AC246" s="38">
        <f>SUM(AC39:AC244)</f>
        <v>0</v>
      </c>
      <c r="AD246" s="38"/>
      <c r="AE246" s="38"/>
      <c r="AF246" s="38"/>
    </row>
    <row r="248" spans="1:32" x14ac:dyDescent="0.25">
      <c r="A248" s="357" t="s">
        <v>300</v>
      </c>
      <c r="B248" s="9" t="str">
        <f>IF(B1=Q1,"Honorarangebot für die zunächst beauftragten und für die optionalen Leistungen","Honorarvereinbarung für die zunächst beauftragten und für die optionalen Leistungen ")</f>
        <v>Honorarangebot für die zunächst beauftragten und für die optionalen Leistungen</v>
      </c>
      <c r="Q248" s="9"/>
      <c r="AA248" s="371"/>
    </row>
    <row r="249" spans="1:32" ht="14.55" thickBot="1" x14ac:dyDescent="0.3">
      <c r="A249" s="357"/>
    </row>
    <row r="250" spans="1:32" x14ac:dyDescent="0.25">
      <c r="A250" s="357"/>
      <c r="B250" s="703" t="s">
        <v>59</v>
      </c>
      <c r="C250" s="704"/>
      <c r="D250" s="704"/>
      <c r="E250" s="704"/>
      <c r="F250" s="705"/>
      <c r="G250" s="61"/>
      <c r="H250" s="884">
        <f>J245</f>
        <v>0</v>
      </c>
      <c r="I250" s="884"/>
      <c r="J250" s="885"/>
    </row>
    <row r="251" spans="1:32" x14ac:dyDescent="0.25">
      <c r="A251" s="357"/>
      <c r="B251" s="222"/>
      <c r="C251" s="10"/>
      <c r="D251" s="10"/>
      <c r="E251" s="10"/>
      <c r="F251" s="223"/>
      <c r="G251" s="63"/>
      <c r="H251" s="224"/>
      <c r="I251" s="224"/>
      <c r="J251" s="225"/>
    </row>
    <row r="252" spans="1:32" ht="15.95" customHeight="1" thickBot="1" x14ac:dyDescent="0.3">
      <c r="A252" s="357"/>
      <c r="B252" s="886" t="s">
        <v>301</v>
      </c>
      <c r="C252" s="887"/>
      <c r="D252" s="887"/>
      <c r="E252" s="887"/>
      <c r="F252" s="888"/>
      <c r="G252" s="64">
        <f>F23</f>
        <v>0</v>
      </c>
      <c r="H252" s="896">
        <f>H250*G252</f>
        <v>0</v>
      </c>
      <c r="I252" s="896"/>
      <c r="J252" s="897"/>
      <c r="K252" s="58">
        <f>H250+H252</f>
        <v>0</v>
      </c>
    </row>
    <row r="253" spans="1:32" x14ac:dyDescent="0.25">
      <c r="A253" s="357"/>
      <c r="B253" s="53"/>
      <c r="C253" s="54"/>
      <c r="D253" s="54"/>
      <c r="E253" s="54"/>
      <c r="F253" s="55"/>
      <c r="G253" s="51"/>
      <c r="J253" s="52"/>
    </row>
    <row r="254" spans="1:32" x14ac:dyDescent="0.25">
      <c r="A254" s="357"/>
      <c r="B254" s="692" t="s">
        <v>61</v>
      </c>
      <c r="C254" s="693"/>
      <c r="D254" s="693"/>
      <c r="E254" s="693"/>
      <c r="F254" s="694"/>
      <c r="G254" s="63"/>
      <c r="H254" s="889">
        <f>R245</f>
        <v>0</v>
      </c>
      <c r="I254" s="889"/>
      <c r="J254" s="890"/>
    </row>
    <row r="255" spans="1:32" ht="14.55" thickBot="1" x14ac:dyDescent="0.3">
      <c r="A255" s="357"/>
      <c r="B255" s="217"/>
      <c r="C255" s="218"/>
      <c r="D255" s="218"/>
      <c r="E255" s="218"/>
      <c r="F255" s="219"/>
      <c r="G255" s="891"/>
      <c r="H255" s="892"/>
      <c r="I255" s="892"/>
      <c r="J255" s="893"/>
    </row>
    <row r="256" spans="1:32" ht="15.95" customHeight="1" thickBot="1" x14ac:dyDescent="0.3">
      <c r="A256" s="357"/>
      <c r="B256" s="744" t="s">
        <v>63</v>
      </c>
      <c r="C256" s="745"/>
      <c r="D256" s="745"/>
      <c r="E256" s="745"/>
      <c r="F256" s="746"/>
      <c r="G256" s="69"/>
      <c r="H256" s="894">
        <f>SUM(H250:J254)</f>
        <v>0</v>
      </c>
      <c r="I256" s="894"/>
      <c r="J256" s="895"/>
    </row>
    <row r="257" spans="1:26" x14ac:dyDescent="0.25">
      <c r="A257" s="357"/>
      <c r="B257" s="238"/>
      <c r="C257" s="239"/>
      <c r="D257" s="239"/>
      <c r="E257" s="239"/>
      <c r="F257" s="240"/>
      <c r="G257" s="14"/>
      <c r="H257" s="56"/>
      <c r="I257" s="56"/>
      <c r="J257" s="57"/>
    </row>
    <row r="258" spans="1:26" ht="15" customHeight="1" x14ac:dyDescent="0.25">
      <c r="A258" s="357"/>
      <c r="B258" s="715" t="s">
        <v>64</v>
      </c>
      <c r="C258" s="716"/>
      <c r="D258" s="716"/>
      <c r="E258" s="716"/>
      <c r="F258" s="717"/>
      <c r="G258" s="62">
        <f>Überblick!$G$97</f>
        <v>0.19</v>
      </c>
      <c r="H258" s="889">
        <f>H256*G258</f>
        <v>0</v>
      </c>
      <c r="I258" s="889"/>
      <c r="J258" s="890"/>
    </row>
    <row r="259" spans="1:26" ht="14.55" thickBot="1" x14ac:dyDescent="0.3">
      <c r="A259" s="357"/>
      <c r="B259" s="226"/>
      <c r="C259" s="227"/>
      <c r="D259" s="227"/>
      <c r="E259" s="227"/>
      <c r="F259" s="228"/>
      <c r="G259" s="64"/>
      <c r="H259" s="220"/>
      <c r="I259" s="220"/>
      <c r="J259" s="221"/>
    </row>
    <row r="260" spans="1:26" ht="15" customHeight="1" x14ac:dyDescent="0.25">
      <c r="A260" s="357"/>
      <c r="B260" s="738" t="s">
        <v>302</v>
      </c>
      <c r="C260" s="739"/>
      <c r="D260" s="739"/>
      <c r="E260" s="739"/>
      <c r="F260" s="740"/>
      <c r="G260" s="59"/>
      <c r="H260" s="880">
        <f>H256+H258</f>
        <v>0</v>
      </c>
      <c r="I260" s="880"/>
      <c r="J260" s="881"/>
    </row>
    <row r="261" spans="1:26" ht="14.55" thickBot="1" x14ac:dyDescent="0.3">
      <c r="A261" s="357"/>
      <c r="B261" s="741"/>
      <c r="C261" s="742"/>
      <c r="D261" s="742"/>
      <c r="E261" s="742"/>
      <c r="F261" s="743"/>
      <c r="G261" s="60"/>
      <c r="H261" s="882"/>
      <c r="I261" s="882"/>
      <c r="J261" s="883"/>
    </row>
    <row r="262" spans="1:26" x14ac:dyDescent="0.25">
      <c r="A262" s="357"/>
    </row>
    <row r="263" spans="1:26" x14ac:dyDescent="0.25">
      <c r="A263" s="357" t="s">
        <v>303</v>
      </c>
      <c r="B263" s="28" t="str">
        <f>IF(B1=Q1,"Honorangebot für die zunächst beauftragenden Leistungen","Honorarvereinbarung für die zunächst beauftragenden Leistungen")</f>
        <v>Honorangebot für die zunächst beauftragenden Leistungen</v>
      </c>
      <c r="C263" s="28"/>
      <c r="D263" s="28"/>
      <c r="E263" s="28"/>
      <c r="F263" s="32"/>
      <c r="G263" s="32"/>
      <c r="H263" s="32"/>
      <c r="I263" s="33"/>
      <c r="J263" s="33"/>
      <c r="K263" s="33"/>
      <c r="L263" s="33"/>
      <c r="M263" s="33"/>
      <c r="N263" s="33"/>
      <c r="O263" s="33"/>
      <c r="P263" s="34"/>
      <c r="Q263" s="28"/>
      <c r="R263" s="34"/>
      <c r="S263" s="34"/>
      <c r="T263" s="34"/>
      <c r="U263" s="34"/>
      <c r="Z263" s="630"/>
    </row>
    <row r="264" spans="1:26" ht="14.55" thickBot="1" x14ac:dyDescent="0.3">
      <c r="A264" s="357"/>
      <c r="B264" s="28"/>
      <c r="C264" s="28"/>
      <c r="D264" s="28"/>
      <c r="E264" s="28"/>
      <c r="F264" s="32"/>
      <c r="G264" s="32"/>
      <c r="H264" s="32"/>
      <c r="I264" s="33"/>
      <c r="J264" s="33"/>
      <c r="K264" s="33"/>
      <c r="L264" s="33"/>
      <c r="M264" s="33"/>
      <c r="N264" s="33"/>
      <c r="O264" s="33"/>
      <c r="P264" s="34"/>
      <c r="Q264" s="34"/>
      <c r="R264" s="34"/>
      <c r="S264" s="34"/>
      <c r="T264" s="34"/>
      <c r="U264" s="34"/>
    </row>
    <row r="265" spans="1:26" x14ac:dyDescent="0.25">
      <c r="A265" s="357"/>
      <c r="B265" s="703" t="s">
        <v>59</v>
      </c>
      <c r="C265" s="704"/>
      <c r="D265" s="704"/>
      <c r="E265" s="704"/>
      <c r="F265" s="705"/>
      <c r="G265" s="61"/>
      <c r="H265" s="884">
        <f>'Berechnung - Tech. Ausrüstung'!C123</f>
        <v>0</v>
      </c>
      <c r="I265" s="884"/>
      <c r="J265" s="885"/>
      <c r="K265" s="33"/>
      <c r="L265" s="33"/>
      <c r="M265" s="33"/>
      <c r="N265" s="33"/>
      <c r="O265" s="33"/>
      <c r="P265" s="34"/>
      <c r="Q265" s="34"/>
      <c r="R265" s="34"/>
      <c r="S265" s="34"/>
      <c r="T265" s="34"/>
      <c r="U265" s="34"/>
    </row>
    <row r="266" spans="1:26" x14ac:dyDescent="0.25">
      <c r="A266" s="357"/>
      <c r="B266" s="222"/>
      <c r="C266" s="10"/>
      <c r="D266" s="10"/>
      <c r="E266" s="10"/>
      <c r="F266" s="223"/>
      <c r="G266" s="63"/>
      <c r="H266" s="224"/>
      <c r="I266" s="224"/>
      <c r="J266" s="225"/>
      <c r="K266" s="33"/>
      <c r="L266" s="33"/>
      <c r="M266" s="33"/>
      <c r="N266" s="33"/>
      <c r="O266" s="33"/>
      <c r="P266" s="34"/>
      <c r="Q266" s="34"/>
      <c r="R266" s="34"/>
      <c r="S266" s="34"/>
      <c r="T266" s="34"/>
      <c r="U266" s="34"/>
    </row>
    <row r="267" spans="1:26" ht="15" customHeight="1" thickBot="1" x14ac:dyDescent="0.3">
      <c r="A267" s="357"/>
      <c r="B267" s="886" t="s">
        <v>301</v>
      </c>
      <c r="C267" s="887"/>
      <c r="D267" s="887"/>
      <c r="E267" s="887"/>
      <c r="F267" s="888"/>
      <c r="G267" s="64">
        <f>F23</f>
        <v>0</v>
      </c>
      <c r="H267" s="896">
        <f>H265*G267</f>
        <v>0</v>
      </c>
      <c r="I267" s="896"/>
      <c r="J267" s="897"/>
      <c r="K267" s="33"/>
      <c r="L267" s="33"/>
      <c r="M267" s="33"/>
      <c r="N267" s="33"/>
      <c r="O267" s="33"/>
      <c r="P267" s="34"/>
      <c r="Q267" s="34"/>
      <c r="R267" s="34"/>
      <c r="S267" s="34"/>
      <c r="T267" s="34"/>
      <c r="U267" s="34"/>
    </row>
    <row r="268" spans="1:26" x14ac:dyDescent="0.25">
      <c r="A268" s="357"/>
      <c r="B268" s="53"/>
      <c r="C268" s="54"/>
      <c r="D268" s="54"/>
      <c r="E268" s="54"/>
      <c r="F268" s="55"/>
      <c r="G268" s="14"/>
      <c r="H268" s="15"/>
      <c r="I268" s="15"/>
      <c r="J268" s="67"/>
      <c r="K268" s="33"/>
      <c r="L268" s="33"/>
      <c r="M268" s="33"/>
      <c r="N268" s="33"/>
      <c r="O268" s="33"/>
      <c r="P268" s="34"/>
      <c r="Q268" s="34"/>
      <c r="R268" s="34"/>
      <c r="S268" s="34"/>
      <c r="T268" s="34"/>
      <c r="U268" s="34"/>
    </row>
    <row r="269" spans="1:26" x14ac:dyDescent="0.25">
      <c r="A269" s="357"/>
      <c r="B269" s="692" t="s">
        <v>61</v>
      </c>
      <c r="C269" s="693"/>
      <c r="D269" s="693"/>
      <c r="E269" s="693"/>
      <c r="F269" s="694"/>
      <c r="G269" s="63"/>
      <c r="H269" s="889">
        <f>'Berechnung - Tech. Ausrüstung'!E123</f>
        <v>0</v>
      </c>
      <c r="I269" s="889"/>
      <c r="J269" s="890"/>
      <c r="K269" s="33"/>
      <c r="L269" s="33"/>
      <c r="M269" s="33"/>
      <c r="N269" s="33"/>
      <c r="O269" s="33"/>
      <c r="P269" s="34"/>
      <c r="Q269" s="34"/>
      <c r="R269" s="34"/>
      <c r="S269" s="34"/>
      <c r="T269" s="34"/>
      <c r="U269" s="34"/>
    </row>
    <row r="270" spans="1:26" ht="14.55" thickBot="1" x14ac:dyDescent="0.3">
      <c r="A270" s="357"/>
      <c r="B270" s="53"/>
      <c r="C270" s="54"/>
      <c r="D270" s="54"/>
      <c r="E270" s="54"/>
      <c r="F270" s="55"/>
      <c r="G270" s="891"/>
      <c r="H270" s="892"/>
      <c r="I270" s="892"/>
      <c r="J270" s="893"/>
      <c r="K270" s="33"/>
      <c r="L270" s="33"/>
      <c r="M270" s="33"/>
      <c r="N270" s="33"/>
      <c r="O270" s="33"/>
      <c r="P270" s="34"/>
      <c r="Q270" s="34"/>
      <c r="R270" s="34"/>
      <c r="S270" s="34"/>
      <c r="T270" s="34"/>
      <c r="U270" s="34"/>
    </row>
    <row r="271" spans="1:26" ht="15.95" customHeight="1" thickBot="1" x14ac:dyDescent="0.3">
      <c r="A271" s="357"/>
      <c r="B271" s="744" t="s">
        <v>63</v>
      </c>
      <c r="C271" s="745"/>
      <c r="D271" s="745"/>
      <c r="E271" s="745"/>
      <c r="F271" s="746"/>
      <c r="G271" s="69"/>
      <c r="H271" s="894">
        <f>SUM(H265:J269)</f>
        <v>0</v>
      </c>
      <c r="I271" s="894"/>
      <c r="J271" s="895"/>
      <c r="K271" s="33"/>
      <c r="L271" s="33"/>
      <c r="M271" s="33"/>
      <c r="N271" s="33"/>
      <c r="O271" s="33"/>
      <c r="P271" s="34"/>
      <c r="Q271" s="34"/>
      <c r="R271" s="34"/>
      <c r="S271" s="34"/>
      <c r="T271" s="34"/>
      <c r="U271" s="34"/>
    </row>
    <row r="272" spans="1:26" x14ac:dyDescent="0.25">
      <c r="A272" s="357"/>
      <c r="B272" s="238"/>
      <c r="C272" s="239"/>
      <c r="D272" s="239"/>
      <c r="E272" s="239"/>
      <c r="F272" s="240"/>
      <c r="G272" s="14"/>
      <c r="H272" s="56"/>
      <c r="I272" s="56"/>
      <c r="J272" s="57"/>
      <c r="K272" s="33"/>
      <c r="L272" s="33"/>
      <c r="M272" s="33"/>
      <c r="N272" s="33"/>
      <c r="O272" s="33"/>
      <c r="P272" s="34"/>
      <c r="Q272" s="34"/>
      <c r="R272" s="34"/>
      <c r="S272" s="34"/>
      <c r="T272" s="34"/>
      <c r="U272" s="34"/>
    </row>
    <row r="273" spans="1:21" ht="15" customHeight="1" x14ac:dyDescent="0.25">
      <c r="A273" s="357"/>
      <c r="B273" s="715" t="s">
        <v>98</v>
      </c>
      <c r="C273" s="716"/>
      <c r="D273" s="716"/>
      <c r="E273" s="716"/>
      <c r="F273" s="717"/>
      <c r="G273" s="62">
        <f>Überblick!$G$97</f>
        <v>0.19</v>
      </c>
      <c r="H273" s="889">
        <f>H271*G273</f>
        <v>0</v>
      </c>
      <c r="I273" s="889"/>
      <c r="J273" s="890"/>
      <c r="K273" s="33"/>
      <c r="L273" s="33"/>
      <c r="M273" s="33"/>
      <c r="N273" s="33"/>
      <c r="O273" s="33"/>
      <c r="P273" s="34"/>
      <c r="Q273" s="34"/>
      <c r="R273" s="34"/>
      <c r="S273" s="34"/>
      <c r="T273" s="34"/>
      <c r="U273" s="34"/>
    </row>
    <row r="274" spans="1:21" ht="14.55" thickBot="1" x14ac:dyDescent="0.3">
      <c r="A274" s="357"/>
      <c r="B274" s="226"/>
      <c r="C274" s="227"/>
      <c r="D274" s="227"/>
      <c r="E274" s="227"/>
      <c r="F274" s="228"/>
      <c r="G274" s="64"/>
      <c r="H274" s="220"/>
      <c r="I274" s="220"/>
      <c r="J274" s="221"/>
      <c r="K274" s="33"/>
      <c r="L274" s="33"/>
      <c r="M274" s="33"/>
      <c r="N274" s="33"/>
      <c r="O274" s="33"/>
      <c r="P274" s="34"/>
      <c r="Q274" s="34"/>
      <c r="R274" s="34"/>
      <c r="S274" s="34"/>
      <c r="T274" s="34"/>
      <c r="U274" s="34"/>
    </row>
    <row r="275" spans="1:21" ht="15" customHeight="1" x14ac:dyDescent="0.25">
      <c r="A275" s="357"/>
      <c r="B275" s="738" t="s">
        <v>103</v>
      </c>
      <c r="C275" s="739"/>
      <c r="D275" s="739"/>
      <c r="E275" s="739"/>
      <c r="F275" s="740"/>
      <c r="G275" s="103"/>
      <c r="H275" s="880">
        <f>H271+H273</f>
        <v>0</v>
      </c>
      <c r="I275" s="880"/>
      <c r="J275" s="881"/>
      <c r="K275" s="33"/>
      <c r="L275" s="33"/>
      <c r="M275" s="33"/>
      <c r="N275" s="33"/>
      <c r="O275" s="33"/>
      <c r="P275" s="34"/>
      <c r="Q275" s="34"/>
      <c r="R275" s="34"/>
      <c r="S275" s="34"/>
      <c r="T275" s="34"/>
      <c r="U275" s="34"/>
    </row>
    <row r="276" spans="1:21" ht="14.55" thickBot="1" x14ac:dyDescent="0.3">
      <c r="A276" s="357"/>
      <c r="B276" s="741"/>
      <c r="C276" s="742"/>
      <c r="D276" s="742"/>
      <c r="E276" s="742"/>
      <c r="F276" s="743"/>
      <c r="G276" s="60"/>
      <c r="H276" s="882"/>
      <c r="I276" s="882"/>
      <c r="J276" s="883"/>
      <c r="K276" s="33"/>
      <c r="L276" s="33"/>
      <c r="M276" s="33"/>
      <c r="N276" s="33"/>
      <c r="O276" s="33"/>
      <c r="P276" s="34"/>
      <c r="Q276" s="34"/>
      <c r="R276" s="34"/>
      <c r="S276" s="34"/>
      <c r="T276" s="34"/>
      <c r="U276" s="34"/>
    </row>
    <row r="277" spans="1:21" x14ac:dyDescent="0.25">
      <c r="A277" s="357"/>
      <c r="B277" s="28"/>
      <c r="C277" s="28"/>
      <c r="D277" s="28"/>
      <c r="E277" s="28"/>
      <c r="F277" s="32"/>
      <c r="G277" s="32"/>
      <c r="H277" s="32"/>
      <c r="I277" s="33"/>
      <c r="J277" s="33"/>
      <c r="K277" s="33"/>
      <c r="L277" s="33"/>
      <c r="M277" s="33"/>
      <c r="N277" s="33"/>
      <c r="O277" s="33"/>
      <c r="P277" s="34"/>
      <c r="Q277" s="34"/>
      <c r="R277" s="34"/>
      <c r="S277" s="34"/>
      <c r="T277" s="34"/>
      <c r="U277" s="34"/>
    </row>
    <row r="278" spans="1:21" x14ac:dyDescent="0.25">
      <c r="A278" s="357" t="s">
        <v>305</v>
      </c>
      <c r="B278" s="9" t="str">
        <f>IF(B1=Q1,"Gemäß des Honorarangebotes werden die Stufen wie folgt vergütet (netto):","Gemäß der Honorarvereinbarung werden die Stufen wie folgt vergütet (netto): ")</f>
        <v>Gemäß des Honorarangebotes werden die Stufen wie folgt vergütet (netto):</v>
      </c>
      <c r="C278" s="9"/>
      <c r="D278" s="9"/>
      <c r="E278" s="9"/>
      <c r="F278" s="9"/>
      <c r="G278" s="9"/>
      <c r="H278" s="9"/>
      <c r="I278" s="9"/>
      <c r="J278" s="9"/>
      <c r="K278" s="9"/>
      <c r="L278" s="28"/>
      <c r="M278" s="33"/>
      <c r="N278" s="33"/>
      <c r="O278" s="9"/>
      <c r="P278" s="34"/>
      <c r="Q278" s="34"/>
      <c r="R278" s="34"/>
      <c r="S278" s="34"/>
      <c r="T278" s="34"/>
      <c r="U278" s="34"/>
    </row>
    <row r="279" spans="1:21" ht="14.55" thickBot="1" x14ac:dyDescent="0.3">
      <c r="A279" s="357"/>
      <c r="B279" s="28"/>
      <c r="C279" s="28"/>
      <c r="D279" s="28"/>
      <c r="E279" s="28"/>
      <c r="F279" s="32"/>
      <c r="G279" s="32"/>
      <c r="H279" s="32"/>
      <c r="I279" s="33"/>
      <c r="J279" s="33"/>
      <c r="K279" s="33"/>
      <c r="L279" s="33"/>
      <c r="M279" s="33"/>
      <c r="N279" s="33"/>
      <c r="O279" s="9"/>
      <c r="P279" s="34"/>
      <c r="Q279" s="34"/>
      <c r="R279" s="34"/>
      <c r="S279" s="34"/>
      <c r="T279" s="34"/>
      <c r="U279" s="34"/>
    </row>
    <row r="280" spans="1:21" ht="15.2" thickTop="1" thickBot="1" x14ac:dyDescent="0.3">
      <c r="A280" s="357"/>
      <c r="B280" s="263" t="s">
        <v>115</v>
      </c>
      <c r="C280" s="264" t="s">
        <v>306</v>
      </c>
      <c r="D280" s="265" t="s">
        <v>307</v>
      </c>
      <c r="E280" s="266" t="s">
        <v>308</v>
      </c>
      <c r="F280" s="266" t="s">
        <v>309</v>
      </c>
      <c r="G280" s="267" t="s">
        <v>310</v>
      </c>
      <c r="H280" s="267" t="s">
        <v>311</v>
      </c>
      <c r="I280" s="268" t="s">
        <v>312</v>
      </c>
      <c r="J280" s="268" t="s">
        <v>313</v>
      </c>
      <c r="K280" s="268" t="s">
        <v>314</v>
      </c>
      <c r="L280" s="268" t="s">
        <v>315</v>
      </c>
      <c r="M280" s="268" t="s">
        <v>316</v>
      </c>
      <c r="N280" s="268" t="s">
        <v>317</v>
      </c>
      <c r="O280" s="268" t="s">
        <v>318</v>
      </c>
      <c r="P280" s="269" t="s">
        <v>319</v>
      </c>
      <c r="Q280" s="34"/>
      <c r="R280" s="34"/>
      <c r="S280" s="34"/>
      <c r="T280" s="34"/>
      <c r="U280" s="34"/>
    </row>
    <row r="281" spans="1:21" x14ac:dyDescent="0.25">
      <c r="A281" s="358"/>
      <c r="B281" s="99" t="str">
        <f>IF(Überblick!$H$53&gt;=1,"1:",0)</f>
        <v>1:</v>
      </c>
      <c r="C281" s="351">
        <f>'Berechnung - Tech. Ausrüstung'!C135</f>
        <v>0</v>
      </c>
      <c r="D281" s="351">
        <f>'Berechnung - Tech. Ausrüstung'!D135</f>
        <v>0</v>
      </c>
      <c r="E281" s="351">
        <f>'Berechnung - Tech. Ausrüstung'!E135</f>
        <v>0</v>
      </c>
      <c r="F281" s="351">
        <f>'Berechnung - Tech. Ausrüstung'!F135</f>
        <v>0</v>
      </c>
      <c r="G281" s="351">
        <f>'Berechnung - Tech. Ausrüstung'!G135</f>
        <v>0</v>
      </c>
      <c r="H281" s="351">
        <f>'Berechnung - Tech. Ausrüstung'!H135</f>
        <v>0</v>
      </c>
      <c r="I281" s="351">
        <f>'Berechnung - Tech. Ausrüstung'!I135</f>
        <v>0</v>
      </c>
      <c r="J281" s="351">
        <f>'Berechnung - Tech. Ausrüstung'!J135</f>
        <v>0</v>
      </c>
      <c r="K281" s="351">
        <f>'Berechnung - Tech. Ausrüstung'!K135</f>
        <v>0</v>
      </c>
      <c r="L281" s="351">
        <f>'Berechnung - Tech. Ausrüstung'!L135</f>
        <v>0</v>
      </c>
      <c r="M281" s="351">
        <f>'Berechnung - Tech. Ausrüstung'!M135</f>
        <v>0</v>
      </c>
      <c r="N281" s="351">
        <f>'Berechnung - Tech. Ausrüstung'!N135</f>
        <v>0</v>
      </c>
      <c r="O281" s="351">
        <f>'Berechnung - Tech. Ausrüstung'!O135</f>
        <v>0</v>
      </c>
      <c r="P281" s="351">
        <f>'Berechnung - Tech. Ausrüstung'!P135</f>
        <v>0</v>
      </c>
      <c r="Q281" s="58">
        <f>SUM(C281:P281)</f>
        <v>0</v>
      </c>
      <c r="S281" s="31"/>
      <c r="T281" s="31"/>
      <c r="U281" s="31"/>
    </row>
    <row r="282" spans="1:21" ht="15.95" customHeight="1" x14ac:dyDescent="0.25">
      <c r="A282" s="358"/>
      <c r="B282" s="99" t="str">
        <f>IF(Überblick!$H$53&gt;=2,"2:",0)</f>
        <v>2:</v>
      </c>
      <c r="C282" s="351">
        <f>'Berechnung - Tech. Ausrüstung'!C136</f>
        <v>0</v>
      </c>
      <c r="D282" s="351">
        <f>'Berechnung - Tech. Ausrüstung'!D136</f>
        <v>0</v>
      </c>
      <c r="E282" s="351">
        <f>'Berechnung - Tech. Ausrüstung'!E136</f>
        <v>0</v>
      </c>
      <c r="F282" s="351">
        <f>'Berechnung - Tech. Ausrüstung'!F136</f>
        <v>0</v>
      </c>
      <c r="G282" s="351">
        <f>'Berechnung - Tech. Ausrüstung'!G136</f>
        <v>0</v>
      </c>
      <c r="H282" s="351">
        <f>'Berechnung - Tech. Ausrüstung'!H136</f>
        <v>0</v>
      </c>
      <c r="I282" s="351">
        <f>'Berechnung - Tech. Ausrüstung'!I136</f>
        <v>0</v>
      </c>
      <c r="J282" s="351">
        <f>'Berechnung - Tech. Ausrüstung'!J136</f>
        <v>0</v>
      </c>
      <c r="K282" s="351">
        <f>'Berechnung - Tech. Ausrüstung'!K136</f>
        <v>0</v>
      </c>
      <c r="L282" s="351">
        <f>'Berechnung - Tech. Ausrüstung'!L136</f>
        <v>0</v>
      </c>
      <c r="M282" s="351">
        <f>'Berechnung - Tech. Ausrüstung'!M136</f>
        <v>0</v>
      </c>
      <c r="N282" s="351">
        <f>'Berechnung - Tech. Ausrüstung'!N136</f>
        <v>0</v>
      </c>
      <c r="O282" s="351">
        <f>'Berechnung - Tech. Ausrüstung'!O136</f>
        <v>0</v>
      </c>
      <c r="P282" s="351">
        <f>'Berechnung - Tech. Ausrüstung'!P136</f>
        <v>0</v>
      </c>
      <c r="Q282" s="58">
        <f t="shared" ref="Q282:Q288" si="4">SUM(C282:P282)</f>
        <v>0</v>
      </c>
    </row>
    <row r="283" spans="1:21" x14ac:dyDescent="0.25">
      <c r="A283" s="27"/>
      <c r="B283" s="99" t="str">
        <f>IF(Überblick!$H$53&gt;=3,"3:",0)</f>
        <v>3:</v>
      </c>
      <c r="C283" s="351">
        <f>'Berechnung - Tech. Ausrüstung'!C137</f>
        <v>0</v>
      </c>
      <c r="D283" s="351">
        <f>'Berechnung - Tech. Ausrüstung'!D137</f>
        <v>0</v>
      </c>
      <c r="E283" s="351">
        <f>'Berechnung - Tech. Ausrüstung'!E137</f>
        <v>0</v>
      </c>
      <c r="F283" s="351">
        <f>'Berechnung - Tech. Ausrüstung'!F137</f>
        <v>0</v>
      </c>
      <c r="G283" s="351">
        <f>'Berechnung - Tech. Ausrüstung'!G137</f>
        <v>0</v>
      </c>
      <c r="H283" s="351">
        <f>'Berechnung - Tech. Ausrüstung'!H137</f>
        <v>0</v>
      </c>
      <c r="I283" s="351">
        <f>'Berechnung - Tech. Ausrüstung'!I137</f>
        <v>0</v>
      </c>
      <c r="J283" s="351">
        <f>'Berechnung - Tech. Ausrüstung'!J137</f>
        <v>0</v>
      </c>
      <c r="K283" s="351">
        <f>'Berechnung - Tech. Ausrüstung'!K137</f>
        <v>0</v>
      </c>
      <c r="L283" s="351">
        <f>'Berechnung - Tech. Ausrüstung'!L137</f>
        <v>0</v>
      </c>
      <c r="M283" s="351">
        <f>'Berechnung - Tech. Ausrüstung'!M137</f>
        <v>0</v>
      </c>
      <c r="N283" s="351">
        <f>'Berechnung - Tech. Ausrüstung'!N137</f>
        <v>0</v>
      </c>
      <c r="O283" s="351">
        <f>'Berechnung - Tech. Ausrüstung'!O137</f>
        <v>0</v>
      </c>
      <c r="P283" s="351">
        <f>'Berechnung - Tech. Ausrüstung'!P137</f>
        <v>0</v>
      </c>
      <c r="Q283" s="58">
        <f t="shared" si="4"/>
        <v>0</v>
      </c>
    </row>
    <row r="284" spans="1:21" x14ac:dyDescent="0.25">
      <c r="A284" s="357"/>
      <c r="B284" s="99">
        <f>IF(Überblick!$H$53&gt;=4,"4:",0)</f>
        <v>0</v>
      </c>
      <c r="C284" s="351">
        <f>'Berechnung - Tech. Ausrüstung'!C138</f>
        <v>0</v>
      </c>
      <c r="D284" s="351">
        <f>'Berechnung - Tech. Ausrüstung'!D138</f>
        <v>0</v>
      </c>
      <c r="E284" s="351">
        <f>'Berechnung - Tech. Ausrüstung'!E138</f>
        <v>0</v>
      </c>
      <c r="F284" s="351">
        <f>'Berechnung - Tech. Ausrüstung'!F138</f>
        <v>0</v>
      </c>
      <c r="G284" s="351">
        <f>'Berechnung - Tech. Ausrüstung'!G138</f>
        <v>0</v>
      </c>
      <c r="H284" s="351">
        <f>'Berechnung - Tech. Ausrüstung'!H138</f>
        <v>0</v>
      </c>
      <c r="I284" s="351">
        <f>'Berechnung - Tech. Ausrüstung'!I138</f>
        <v>0</v>
      </c>
      <c r="J284" s="351">
        <f>'Berechnung - Tech. Ausrüstung'!J138</f>
        <v>0</v>
      </c>
      <c r="K284" s="351">
        <f>'Berechnung - Tech. Ausrüstung'!K138</f>
        <v>0</v>
      </c>
      <c r="L284" s="351">
        <f>'Berechnung - Tech. Ausrüstung'!L138</f>
        <v>0</v>
      </c>
      <c r="M284" s="351">
        <f>'Berechnung - Tech. Ausrüstung'!M138</f>
        <v>0</v>
      </c>
      <c r="N284" s="351">
        <f>'Berechnung - Tech. Ausrüstung'!N138</f>
        <v>0</v>
      </c>
      <c r="O284" s="351">
        <f>'Berechnung - Tech. Ausrüstung'!O138</f>
        <v>0</v>
      </c>
      <c r="P284" s="351">
        <f>'Berechnung - Tech. Ausrüstung'!P138</f>
        <v>0</v>
      </c>
      <c r="Q284" s="58">
        <f t="shared" si="4"/>
        <v>0</v>
      </c>
    </row>
    <row r="285" spans="1:21" x14ac:dyDescent="0.25">
      <c r="A285" s="357"/>
      <c r="B285" s="99">
        <f>IF(Überblick!$H$53&gt;=5,"5:",0)</f>
        <v>0</v>
      </c>
      <c r="C285" s="351">
        <f>'Berechnung - Tech. Ausrüstung'!C139</f>
        <v>0</v>
      </c>
      <c r="D285" s="351">
        <f>'Berechnung - Tech. Ausrüstung'!D139</f>
        <v>0</v>
      </c>
      <c r="E285" s="351">
        <f>'Berechnung - Tech. Ausrüstung'!E139</f>
        <v>0</v>
      </c>
      <c r="F285" s="351">
        <f>'Berechnung - Tech. Ausrüstung'!F139</f>
        <v>0</v>
      </c>
      <c r="G285" s="351">
        <f>'Berechnung - Tech. Ausrüstung'!G139</f>
        <v>0</v>
      </c>
      <c r="H285" s="351">
        <f>'Berechnung - Tech. Ausrüstung'!H139</f>
        <v>0</v>
      </c>
      <c r="I285" s="351">
        <f>'Berechnung - Tech. Ausrüstung'!I139</f>
        <v>0</v>
      </c>
      <c r="J285" s="351">
        <f>'Berechnung - Tech. Ausrüstung'!J139</f>
        <v>0</v>
      </c>
      <c r="K285" s="351">
        <f>'Berechnung - Tech. Ausrüstung'!K139</f>
        <v>0</v>
      </c>
      <c r="L285" s="351">
        <f>'Berechnung - Tech. Ausrüstung'!L139</f>
        <v>0</v>
      </c>
      <c r="M285" s="351">
        <f>'Berechnung - Tech. Ausrüstung'!M139</f>
        <v>0</v>
      </c>
      <c r="N285" s="351">
        <f>'Berechnung - Tech. Ausrüstung'!N139</f>
        <v>0</v>
      </c>
      <c r="O285" s="351">
        <f>'Berechnung - Tech. Ausrüstung'!O139</f>
        <v>0</v>
      </c>
      <c r="P285" s="351">
        <f>'Berechnung - Tech. Ausrüstung'!P139</f>
        <v>0</v>
      </c>
      <c r="Q285" s="58">
        <f t="shared" si="4"/>
        <v>0</v>
      </c>
    </row>
    <row r="286" spans="1:21" ht="15.95" customHeight="1" x14ac:dyDescent="0.25">
      <c r="A286" s="357"/>
      <c r="B286" s="99">
        <f>IF(Überblick!$H$53&gt;=6,"6:",0)</f>
        <v>0</v>
      </c>
      <c r="C286" s="351">
        <f>'Berechnung - Tech. Ausrüstung'!C140</f>
        <v>0</v>
      </c>
      <c r="D286" s="351">
        <f>'Berechnung - Tech. Ausrüstung'!D140</f>
        <v>0</v>
      </c>
      <c r="E286" s="351">
        <f>'Berechnung - Tech. Ausrüstung'!E140</f>
        <v>0</v>
      </c>
      <c r="F286" s="351">
        <f>'Berechnung - Tech. Ausrüstung'!F140</f>
        <v>0</v>
      </c>
      <c r="G286" s="351">
        <f>'Berechnung - Tech. Ausrüstung'!G140</f>
        <v>0</v>
      </c>
      <c r="H286" s="351">
        <f>'Berechnung - Tech. Ausrüstung'!H140</f>
        <v>0</v>
      </c>
      <c r="I286" s="351">
        <f>'Berechnung - Tech. Ausrüstung'!I140</f>
        <v>0</v>
      </c>
      <c r="J286" s="351">
        <f>'Berechnung - Tech. Ausrüstung'!J140</f>
        <v>0</v>
      </c>
      <c r="K286" s="351">
        <f>'Berechnung - Tech. Ausrüstung'!K140</f>
        <v>0</v>
      </c>
      <c r="L286" s="351">
        <f>'Berechnung - Tech. Ausrüstung'!L140</f>
        <v>0</v>
      </c>
      <c r="M286" s="351">
        <f>'Berechnung - Tech. Ausrüstung'!M140</f>
        <v>0</v>
      </c>
      <c r="N286" s="351">
        <f>'Berechnung - Tech. Ausrüstung'!N140</f>
        <v>0</v>
      </c>
      <c r="O286" s="351">
        <f>'Berechnung - Tech. Ausrüstung'!O140</f>
        <v>0</v>
      </c>
      <c r="P286" s="351">
        <f>'Berechnung - Tech. Ausrüstung'!P140</f>
        <v>0</v>
      </c>
      <c r="Q286" s="58">
        <f t="shared" si="4"/>
        <v>0</v>
      </c>
    </row>
    <row r="287" spans="1:21" x14ac:dyDescent="0.25">
      <c r="A287" s="357"/>
      <c r="B287" s="99">
        <f>IF(Überblick!$H$53&gt;=7,"7:",0)</f>
        <v>0</v>
      </c>
      <c r="C287" s="351">
        <f>'Berechnung - Tech. Ausrüstung'!C141</f>
        <v>0</v>
      </c>
      <c r="D287" s="351">
        <f>'Berechnung - Tech. Ausrüstung'!D141</f>
        <v>0</v>
      </c>
      <c r="E287" s="351">
        <f>'Berechnung - Tech. Ausrüstung'!E141</f>
        <v>0</v>
      </c>
      <c r="F287" s="351">
        <f>'Berechnung - Tech. Ausrüstung'!F141</f>
        <v>0</v>
      </c>
      <c r="G287" s="351">
        <f>'Berechnung - Tech. Ausrüstung'!G141</f>
        <v>0</v>
      </c>
      <c r="H287" s="351">
        <f>'Berechnung - Tech. Ausrüstung'!H141</f>
        <v>0</v>
      </c>
      <c r="I287" s="351">
        <f>'Berechnung - Tech. Ausrüstung'!I141</f>
        <v>0</v>
      </c>
      <c r="J287" s="351">
        <f>'Berechnung - Tech. Ausrüstung'!J141</f>
        <v>0</v>
      </c>
      <c r="K287" s="351">
        <f>'Berechnung - Tech. Ausrüstung'!K141</f>
        <v>0</v>
      </c>
      <c r="L287" s="351">
        <f>'Berechnung - Tech. Ausrüstung'!L141</f>
        <v>0</v>
      </c>
      <c r="M287" s="351">
        <f>'Berechnung - Tech. Ausrüstung'!M141</f>
        <v>0</v>
      </c>
      <c r="N287" s="351">
        <f>'Berechnung - Tech. Ausrüstung'!N141</f>
        <v>0</v>
      </c>
      <c r="O287" s="351">
        <f>'Berechnung - Tech. Ausrüstung'!O141</f>
        <v>0</v>
      </c>
      <c r="P287" s="351">
        <f>'Berechnung - Tech. Ausrüstung'!P141</f>
        <v>0</v>
      </c>
      <c r="Q287" s="58">
        <f t="shared" si="4"/>
        <v>0</v>
      </c>
    </row>
    <row r="288" spans="1:21" ht="15" customHeight="1" x14ac:dyDescent="0.25">
      <c r="A288" s="357"/>
      <c r="B288" s="99">
        <f>IF(Überblick!$H$53&gt;=8,"8:",0)</f>
        <v>0</v>
      </c>
      <c r="C288" s="351">
        <f>'Berechnung - Tech. Ausrüstung'!C142</f>
        <v>0</v>
      </c>
      <c r="D288" s="351">
        <f>'Berechnung - Tech. Ausrüstung'!D142</f>
        <v>0</v>
      </c>
      <c r="E288" s="351">
        <f>'Berechnung - Tech. Ausrüstung'!E142</f>
        <v>0</v>
      </c>
      <c r="F288" s="351">
        <f>'Berechnung - Tech. Ausrüstung'!F142</f>
        <v>0</v>
      </c>
      <c r="G288" s="351">
        <f>'Berechnung - Tech. Ausrüstung'!G142</f>
        <v>0</v>
      </c>
      <c r="H288" s="351">
        <f>'Berechnung - Tech. Ausrüstung'!H142</f>
        <v>0</v>
      </c>
      <c r="I288" s="351">
        <f>'Berechnung - Tech. Ausrüstung'!I142</f>
        <v>0</v>
      </c>
      <c r="J288" s="351">
        <f>'Berechnung - Tech. Ausrüstung'!J142</f>
        <v>0</v>
      </c>
      <c r="K288" s="351">
        <f>'Berechnung - Tech. Ausrüstung'!K142</f>
        <v>0</v>
      </c>
      <c r="L288" s="351">
        <f>'Berechnung - Tech. Ausrüstung'!L142</f>
        <v>0</v>
      </c>
      <c r="M288" s="351">
        <f>'Berechnung - Tech. Ausrüstung'!M142</f>
        <v>0</v>
      </c>
      <c r="N288" s="351">
        <f>'Berechnung - Tech. Ausrüstung'!N142</f>
        <v>0</v>
      </c>
      <c r="O288" s="351">
        <f>'Berechnung - Tech. Ausrüstung'!O142</f>
        <v>0</v>
      </c>
      <c r="P288" s="351">
        <f>'Berechnung - Tech. Ausrüstung'!P142</f>
        <v>0</v>
      </c>
      <c r="Q288" s="58">
        <f t="shared" si="4"/>
        <v>0</v>
      </c>
    </row>
    <row r="289" spans="2:16" x14ac:dyDescent="0.25">
      <c r="B289" s="99">
        <f>IF(Überblick!$H$53&gt;=9,"9:",0)</f>
        <v>0</v>
      </c>
      <c r="C289" s="351">
        <f>'Berechnung - Tech. Ausrüstung'!C143</f>
        <v>0</v>
      </c>
      <c r="D289" s="351">
        <f>'Berechnung - Tech. Ausrüstung'!D143</f>
        <v>0</v>
      </c>
      <c r="E289" s="351">
        <f>'Berechnung - Tech. Ausrüstung'!E143</f>
        <v>0</v>
      </c>
      <c r="F289" s="351">
        <f>'Berechnung - Tech. Ausrüstung'!F143</f>
        <v>0</v>
      </c>
      <c r="G289" s="351">
        <f>'Berechnung - Tech. Ausrüstung'!G143</f>
        <v>0</v>
      </c>
      <c r="H289" s="351">
        <f>'Berechnung - Tech. Ausrüstung'!H143</f>
        <v>0</v>
      </c>
      <c r="I289" s="351">
        <f>'Berechnung - Tech. Ausrüstung'!I143</f>
        <v>0</v>
      </c>
      <c r="J289" s="351">
        <f>'Berechnung - Tech. Ausrüstung'!J143</f>
        <v>0</v>
      </c>
      <c r="K289" s="351">
        <f>'Berechnung - Tech. Ausrüstung'!K143</f>
        <v>0</v>
      </c>
      <c r="L289" s="351">
        <f>'Berechnung - Tech. Ausrüstung'!L143</f>
        <v>0</v>
      </c>
      <c r="M289" s="351">
        <f>'Berechnung - Tech. Ausrüstung'!M143</f>
        <v>0</v>
      </c>
      <c r="N289" s="351">
        <f>'Berechnung - Tech. Ausrüstung'!N143</f>
        <v>0</v>
      </c>
      <c r="O289" s="351">
        <f>'Berechnung - Tech. Ausrüstung'!O143</f>
        <v>0</v>
      </c>
      <c r="P289" s="351">
        <f>'Berechnung - Tech. Ausrüstung'!P143</f>
        <v>0</v>
      </c>
    </row>
    <row r="290" spans="2:16" x14ac:dyDescent="0.25">
      <c r="B290" s="88"/>
      <c r="C290" s="88"/>
      <c r="D290" s="88"/>
      <c r="E290" s="88"/>
      <c r="F290" s="88"/>
      <c r="G290" s="88"/>
      <c r="H290" s="88"/>
      <c r="I290" s="88"/>
      <c r="J290" s="88"/>
      <c r="K290" s="88"/>
      <c r="L290" s="88"/>
      <c r="M290" s="88"/>
      <c r="N290" s="88"/>
      <c r="O290" s="88"/>
      <c r="P290" s="88"/>
    </row>
    <row r="291" spans="2:16" x14ac:dyDescent="0.25">
      <c r="B291" s="88"/>
      <c r="C291" s="88"/>
      <c r="D291" s="88"/>
      <c r="E291" s="88"/>
      <c r="F291" s="88"/>
      <c r="G291" s="88"/>
      <c r="H291" s="88"/>
      <c r="I291" s="88"/>
      <c r="J291" s="88"/>
      <c r="K291" s="88"/>
      <c r="L291" s="88"/>
      <c r="M291" s="88"/>
      <c r="N291" s="88"/>
      <c r="O291" s="88"/>
      <c r="P291" s="88"/>
    </row>
    <row r="292" spans="2:16" x14ac:dyDescent="0.25">
      <c r="B292" s="88"/>
      <c r="C292" s="88"/>
      <c r="D292" s="88"/>
      <c r="E292" s="88"/>
      <c r="F292" s="88"/>
      <c r="G292" s="88"/>
      <c r="H292" s="88"/>
      <c r="I292" s="88"/>
      <c r="J292" s="88"/>
      <c r="K292" s="88"/>
      <c r="L292" s="88"/>
      <c r="M292" s="88"/>
      <c r="N292" s="88"/>
      <c r="O292" s="88"/>
      <c r="P292" s="88"/>
    </row>
    <row r="293" spans="2:16" x14ac:dyDescent="0.25">
      <c r="B293" s="88"/>
      <c r="C293" s="88"/>
      <c r="D293" s="88"/>
      <c r="E293" s="88"/>
      <c r="F293" s="88"/>
      <c r="G293" s="88"/>
      <c r="H293" s="88"/>
      <c r="I293" s="88"/>
      <c r="J293" s="88"/>
      <c r="K293" s="88"/>
      <c r="L293" s="88"/>
      <c r="M293" s="88"/>
      <c r="N293" s="88"/>
      <c r="O293" s="88"/>
      <c r="P293" s="88"/>
    </row>
    <row r="294" spans="2:16" x14ac:dyDescent="0.25">
      <c r="B294" s="88"/>
      <c r="C294" s="88"/>
      <c r="D294" s="88"/>
      <c r="E294" s="88"/>
      <c r="F294" s="88"/>
      <c r="G294" s="88"/>
      <c r="H294" s="88"/>
      <c r="I294" s="88"/>
      <c r="J294" s="88"/>
      <c r="K294" s="88"/>
      <c r="L294" s="88"/>
      <c r="M294" s="88"/>
      <c r="N294" s="88"/>
      <c r="O294" s="88"/>
      <c r="P294" s="88"/>
    </row>
  </sheetData>
  <mergeCells count="476">
    <mergeCell ref="B275:F276"/>
    <mergeCell ref="H275:J276"/>
    <mergeCell ref="B269:F269"/>
    <mergeCell ref="H269:J269"/>
    <mergeCell ref="G270:J270"/>
    <mergeCell ref="B271:F271"/>
    <mergeCell ref="H271:J271"/>
    <mergeCell ref="B273:F273"/>
    <mergeCell ref="H273:J273"/>
    <mergeCell ref="B265:F265"/>
    <mergeCell ref="H265:J265"/>
    <mergeCell ref="B267:F267"/>
    <mergeCell ref="H267:J267"/>
    <mergeCell ref="B254:F254"/>
    <mergeCell ref="H254:J254"/>
    <mergeCell ref="G255:J255"/>
    <mergeCell ref="B256:F256"/>
    <mergeCell ref="H256:J256"/>
    <mergeCell ref="B258:F258"/>
    <mergeCell ref="H258:J258"/>
    <mergeCell ref="B252:F252"/>
    <mergeCell ref="H252:J252"/>
    <mergeCell ref="B245:H246"/>
    <mergeCell ref="I245:I246"/>
    <mergeCell ref="J245:K246"/>
    <mergeCell ref="L245:P246"/>
    <mergeCell ref="Q245:Q246"/>
    <mergeCell ref="R245:S246"/>
    <mergeCell ref="B260:F261"/>
    <mergeCell ref="H260:J261"/>
    <mergeCell ref="T236:T244"/>
    <mergeCell ref="U236:U244"/>
    <mergeCell ref="L239:P241"/>
    <mergeCell ref="Q239:Q241"/>
    <mergeCell ref="R239:S241"/>
    <mergeCell ref="T245:T246"/>
    <mergeCell ref="U245:U246"/>
    <mergeCell ref="B250:F250"/>
    <mergeCell ref="H250:J250"/>
    <mergeCell ref="B235:G235"/>
    <mergeCell ref="I235:K235"/>
    <mergeCell ref="L235:P235"/>
    <mergeCell ref="R235:S235"/>
    <mergeCell ref="B236:G240"/>
    <mergeCell ref="H236:H240"/>
    <mergeCell ref="I236:I244"/>
    <mergeCell ref="J236:K244"/>
    <mergeCell ref="L236:P238"/>
    <mergeCell ref="Q236:Q238"/>
    <mergeCell ref="B241:G243"/>
    <mergeCell ref="H241:H243"/>
    <mergeCell ref="L242:P244"/>
    <mergeCell ref="Q242:Q244"/>
    <mergeCell ref="R242:S244"/>
    <mergeCell ref="B244:G244"/>
    <mergeCell ref="R236:S238"/>
    <mergeCell ref="H228:H229"/>
    <mergeCell ref="B230:G231"/>
    <mergeCell ref="H230:H231"/>
    <mergeCell ref="L230:P234"/>
    <mergeCell ref="Q230:Q234"/>
    <mergeCell ref="R230:S234"/>
    <mergeCell ref="B232:G234"/>
    <mergeCell ref="H232:H234"/>
    <mergeCell ref="R218:S226"/>
    <mergeCell ref="B219:G222"/>
    <mergeCell ref="H219:H222"/>
    <mergeCell ref="B223:G223"/>
    <mergeCell ref="B224:G227"/>
    <mergeCell ref="H224:H227"/>
    <mergeCell ref="L227:P229"/>
    <mergeCell ref="Q227:Q229"/>
    <mergeCell ref="R227:S229"/>
    <mergeCell ref="B228:G229"/>
    <mergeCell ref="L218:P226"/>
    <mergeCell ref="Q218:Q226"/>
    <mergeCell ref="R206:S208"/>
    <mergeCell ref="B208:G208"/>
    <mergeCell ref="B209:G212"/>
    <mergeCell ref="H209:H212"/>
    <mergeCell ref="L209:P211"/>
    <mergeCell ref="Q209:Q211"/>
    <mergeCell ref="R209:S211"/>
    <mergeCell ref="L212:P217"/>
    <mergeCell ref="Q212:Q217"/>
    <mergeCell ref="R212:S217"/>
    <mergeCell ref="R194:S203"/>
    <mergeCell ref="T194:T234"/>
    <mergeCell ref="U194:U234"/>
    <mergeCell ref="B201:G201"/>
    <mergeCell ref="B202:G203"/>
    <mergeCell ref="H202:H203"/>
    <mergeCell ref="B204:G204"/>
    <mergeCell ref="L204:P205"/>
    <mergeCell ref="Q204:Q205"/>
    <mergeCell ref="R204:S205"/>
    <mergeCell ref="B194:G200"/>
    <mergeCell ref="H194:H200"/>
    <mergeCell ref="I194:I234"/>
    <mergeCell ref="J194:K234"/>
    <mergeCell ref="L194:P203"/>
    <mergeCell ref="Q194:Q203"/>
    <mergeCell ref="B205:G207"/>
    <mergeCell ref="H205:H207"/>
    <mergeCell ref="L206:P208"/>
    <mergeCell ref="Q206:Q208"/>
    <mergeCell ref="B213:G216"/>
    <mergeCell ref="H213:H216"/>
    <mergeCell ref="B217:G217"/>
    <mergeCell ref="B218:G218"/>
    <mergeCell ref="B193:G193"/>
    <mergeCell ref="L193:P193"/>
    <mergeCell ref="R193:S193"/>
    <mergeCell ref="R185:S187"/>
    <mergeCell ref="B186:G188"/>
    <mergeCell ref="H186:H188"/>
    <mergeCell ref="L188:P190"/>
    <mergeCell ref="Q188:Q190"/>
    <mergeCell ref="R188:S190"/>
    <mergeCell ref="B189:G190"/>
    <mergeCell ref="H189:H190"/>
    <mergeCell ref="T179:T192"/>
    <mergeCell ref="U179:U192"/>
    <mergeCell ref="B180:G184"/>
    <mergeCell ref="H180:H184"/>
    <mergeCell ref="L182:P184"/>
    <mergeCell ref="Q182:Q184"/>
    <mergeCell ref="R182:S184"/>
    <mergeCell ref="B185:G185"/>
    <mergeCell ref="L185:P187"/>
    <mergeCell ref="Q185:Q187"/>
    <mergeCell ref="B191:G192"/>
    <mergeCell ref="H191:H192"/>
    <mergeCell ref="L191:P192"/>
    <mergeCell ref="Q191:Q192"/>
    <mergeCell ref="R191:S192"/>
    <mergeCell ref="B178:G178"/>
    <mergeCell ref="I178:K178"/>
    <mergeCell ref="L178:P178"/>
    <mergeCell ref="R178:S178"/>
    <mergeCell ref="B179:G179"/>
    <mergeCell ref="I179:I192"/>
    <mergeCell ref="J179:K192"/>
    <mergeCell ref="L179:P181"/>
    <mergeCell ref="Q179:Q181"/>
    <mergeCell ref="R179:S181"/>
    <mergeCell ref="Q167:Q169"/>
    <mergeCell ref="R167:S169"/>
    <mergeCell ref="H154:H156"/>
    <mergeCell ref="I154:I177"/>
    <mergeCell ref="J154:K177"/>
    <mergeCell ref="L154:P156"/>
    <mergeCell ref="Q154:Q156"/>
    <mergeCell ref="R154:S156"/>
    <mergeCell ref="B174:G176"/>
    <mergeCell ref="H174:H176"/>
    <mergeCell ref="L174:P176"/>
    <mergeCell ref="Q174:Q176"/>
    <mergeCell ref="R174:S176"/>
    <mergeCell ref="B177:G177"/>
    <mergeCell ref="L177:P177"/>
    <mergeCell ref="R177:S177"/>
    <mergeCell ref="B168:G170"/>
    <mergeCell ref="H168:H170"/>
    <mergeCell ref="L170:P173"/>
    <mergeCell ref="Q170:Q173"/>
    <mergeCell ref="R170:S173"/>
    <mergeCell ref="B171:G173"/>
    <mergeCell ref="H171:H173"/>
    <mergeCell ref="Q150:Q152"/>
    <mergeCell ref="R150:S152"/>
    <mergeCell ref="T150:T152"/>
    <mergeCell ref="U150:U152"/>
    <mergeCell ref="A153:A244"/>
    <mergeCell ref="B153:G153"/>
    <mergeCell ref="I153:K153"/>
    <mergeCell ref="L153:P153"/>
    <mergeCell ref="R153:S153"/>
    <mergeCell ref="B154:G156"/>
    <mergeCell ref="A150:A152"/>
    <mergeCell ref="B150:G152"/>
    <mergeCell ref="H150:H152"/>
    <mergeCell ref="I150:I152"/>
    <mergeCell ref="J150:K152"/>
    <mergeCell ref="L150:P152"/>
    <mergeCell ref="T154:T177"/>
    <mergeCell ref="U154:U177"/>
    <mergeCell ref="B157:G167"/>
    <mergeCell ref="H157:H167"/>
    <mergeCell ref="L157:P166"/>
    <mergeCell ref="Q157:Q166"/>
    <mergeCell ref="R157:S166"/>
    <mergeCell ref="L167:P169"/>
    <mergeCell ref="T145:T149"/>
    <mergeCell ref="U145:U149"/>
    <mergeCell ref="L148:P149"/>
    <mergeCell ref="Q148:Q149"/>
    <mergeCell ref="R148:S149"/>
    <mergeCell ref="A145:A149"/>
    <mergeCell ref="B145:G149"/>
    <mergeCell ref="H145:H149"/>
    <mergeCell ref="I145:I149"/>
    <mergeCell ref="J145:K149"/>
    <mergeCell ref="L145:P147"/>
    <mergeCell ref="B143:G143"/>
    <mergeCell ref="J143:K143"/>
    <mergeCell ref="L143:P143"/>
    <mergeCell ref="R143:S143"/>
    <mergeCell ref="B144:G144"/>
    <mergeCell ref="J144:K144"/>
    <mergeCell ref="L144:P144"/>
    <mergeCell ref="R144:S144"/>
    <mergeCell ref="Q145:Q147"/>
    <mergeCell ref="R145:S147"/>
    <mergeCell ref="T133:T142"/>
    <mergeCell ref="U133:U142"/>
    <mergeCell ref="L136:P138"/>
    <mergeCell ref="Q136:Q138"/>
    <mergeCell ref="R136:S138"/>
    <mergeCell ref="L139:P141"/>
    <mergeCell ref="Q139:Q141"/>
    <mergeCell ref="R139:S141"/>
    <mergeCell ref="R142:S142"/>
    <mergeCell ref="A133:A142"/>
    <mergeCell ref="B133:G142"/>
    <mergeCell ref="H133:H142"/>
    <mergeCell ref="I133:I142"/>
    <mergeCell ref="J133:K142"/>
    <mergeCell ref="L133:P135"/>
    <mergeCell ref="L142:P142"/>
    <mergeCell ref="Q128:Q130"/>
    <mergeCell ref="R128:S130"/>
    <mergeCell ref="A128:A132"/>
    <mergeCell ref="Q133:Q135"/>
    <mergeCell ref="R133:S135"/>
    <mergeCell ref="B127:G127"/>
    <mergeCell ref="I127:K127"/>
    <mergeCell ref="L127:P127"/>
    <mergeCell ref="R127:S127"/>
    <mergeCell ref="B128:G132"/>
    <mergeCell ref="H128:H132"/>
    <mergeCell ref="I128:I132"/>
    <mergeCell ref="J128:K132"/>
    <mergeCell ref="L128:P130"/>
    <mergeCell ref="U119:U126"/>
    <mergeCell ref="L122:P124"/>
    <mergeCell ref="Q122:Q124"/>
    <mergeCell ref="R122:S124"/>
    <mergeCell ref="L125:P126"/>
    <mergeCell ref="Q125:Q126"/>
    <mergeCell ref="R125:S126"/>
    <mergeCell ref="T128:T132"/>
    <mergeCell ref="U128:U132"/>
    <mergeCell ref="L131:P132"/>
    <mergeCell ref="Q131:Q132"/>
    <mergeCell ref="R131:S132"/>
    <mergeCell ref="B119:G123"/>
    <mergeCell ref="H119:H123"/>
    <mergeCell ref="I119:I126"/>
    <mergeCell ref="J119:K126"/>
    <mergeCell ref="L119:P121"/>
    <mergeCell ref="Q119:Q121"/>
    <mergeCell ref="B124:G126"/>
    <mergeCell ref="H124:H126"/>
    <mergeCell ref="T115:T117"/>
    <mergeCell ref="R119:S121"/>
    <mergeCell ref="T119:T126"/>
    <mergeCell ref="U115:U117"/>
    <mergeCell ref="B118:G118"/>
    <mergeCell ref="I118:K118"/>
    <mergeCell ref="L118:P118"/>
    <mergeCell ref="R118:S118"/>
    <mergeCell ref="R113:S114"/>
    <mergeCell ref="B115:G117"/>
    <mergeCell ref="H115:H117"/>
    <mergeCell ref="I115:K117"/>
    <mergeCell ref="L115:P117"/>
    <mergeCell ref="Q115:Q117"/>
    <mergeCell ref="R115:S117"/>
    <mergeCell ref="U82:U114"/>
    <mergeCell ref="B82:G86"/>
    <mergeCell ref="H82:H86"/>
    <mergeCell ref="B87:G87"/>
    <mergeCell ref="B88:G100"/>
    <mergeCell ref="H88:H100"/>
    <mergeCell ref="B111:G112"/>
    <mergeCell ref="H111:H112"/>
    <mergeCell ref="B113:G114"/>
    <mergeCell ref="H113:H114"/>
    <mergeCell ref="L113:P114"/>
    <mergeCell ref="Q113:Q114"/>
    <mergeCell ref="Q107:Q109"/>
    <mergeCell ref="H101:H106"/>
    <mergeCell ref="L101:P103"/>
    <mergeCell ref="Q101:Q103"/>
    <mergeCell ref="R101:S103"/>
    <mergeCell ref="L104:P106"/>
    <mergeCell ref="Q104:Q106"/>
    <mergeCell ref="R104:S106"/>
    <mergeCell ref="I82:I114"/>
    <mergeCell ref="J82:K114"/>
    <mergeCell ref="R91:S93"/>
    <mergeCell ref="L94:P97"/>
    <mergeCell ref="Q94:Q97"/>
    <mergeCell ref="R94:S97"/>
    <mergeCell ref="L98:P100"/>
    <mergeCell ref="Q98:Q100"/>
    <mergeCell ref="R98:S100"/>
    <mergeCell ref="R82:S84"/>
    <mergeCell ref="B74:G75"/>
    <mergeCell ref="H74:H75"/>
    <mergeCell ref="B57:G64"/>
    <mergeCell ref="H57:H64"/>
    <mergeCell ref="L58:P60"/>
    <mergeCell ref="Q58:Q60"/>
    <mergeCell ref="T82:T114"/>
    <mergeCell ref="L85:P87"/>
    <mergeCell ref="Q85:Q87"/>
    <mergeCell ref="R85:S87"/>
    <mergeCell ref="L88:P90"/>
    <mergeCell ref="Q88:Q90"/>
    <mergeCell ref="R88:S90"/>
    <mergeCell ref="L91:P93"/>
    <mergeCell ref="L82:P84"/>
    <mergeCell ref="Q82:Q84"/>
    <mergeCell ref="Q91:Q93"/>
    <mergeCell ref="R107:S109"/>
    <mergeCell ref="L110:P112"/>
    <mergeCell ref="Q110:Q112"/>
    <mergeCell ref="R110:S112"/>
    <mergeCell ref="B107:G108"/>
    <mergeCell ref="H107:H108"/>
    <mergeCell ref="L107:P109"/>
    <mergeCell ref="T78:T80"/>
    <mergeCell ref="U78:U80"/>
    <mergeCell ref="B81:G81"/>
    <mergeCell ref="I81:K81"/>
    <mergeCell ref="L81:P81"/>
    <mergeCell ref="R81:S81"/>
    <mergeCell ref="B78:G80"/>
    <mergeCell ref="H78:H80"/>
    <mergeCell ref="I78:K80"/>
    <mergeCell ref="L78:P80"/>
    <mergeCell ref="Q78:Q80"/>
    <mergeCell ref="R78:S80"/>
    <mergeCell ref="B54:G54"/>
    <mergeCell ref="I54:K54"/>
    <mergeCell ref="L54:P54"/>
    <mergeCell ref="R54:S54"/>
    <mergeCell ref="B55:G56"/>
    <mergeCell ref="H55:H56"/>
    <mergeCell ref="I55:I77"/>
    <mergeCell ref="J55:K77"/>
    <mergeCell ref="L55:P57"/>
    <mergeCell ref="B65:G66"/>
    <mergeCell ref="H65:H66"/>
    <mergeCell ref="Q55:Q57"/>
    <mergeCell ref="R55:S57"/>
    <mergeCell ref="B67:G70"/>
    <mergeCell ref="H67:H70"/>
    <mergeCell ref="L67:P69"/>
    <mergeCell ref="Q67:Q69"/>
    <mergeCell ref="R67:S69"/>
    <mergeCell ref="L70:P72"/>
    <mergeCell ref="Q70:Q72"/>
    <mergeCell ref="R70:S72"/>
    <mergeCell ref="B71:G73"/>
    <mergeCell ref="H71:H73"/>
    <mergeCell ref="R76:S77"/>
    <mergeCell ref="L73:P75"/>
    <mergeCell ref="T39:T53"/>
    <mergeCell ref="U39:U53"/>
    <mergeCell ref="R61:S63"/>
    <mergeCell ref="L64:P66"/>
    <mergeCell ref="Q64:Q66"/>
    <mergeCell ref="R64:S66"/>
    <mergeCell ref="I38:K38"/>
    <mergeCell ref="L38:P38"/>
    <mergeCell ref="R38:S38"/>
    <mergeCell ref="R47:S48"/>
    <mergeCell ref="R49:S49"/>
    <mergeCell ref="R50:S50"/>
    <mergeCell ref="R51:S52"/>
    <mergeCell ref="R39:S43"/>
    <mergeCell ref="R44:S46"/>
    <mergeCell ref="R53:S53"/>
    <mergeCell ref="R58:S60"/>
    <mergeCell ref="T55:T77"/>
    <mergeCell ref="U55:U77"/>
    <mergeCell ref="L61:P63"/>
    <mergeCell ref="Q73:Q75"/>
    <mergeCell ref="R73:S75"/>
    <mergeCell ref="B39:G41"/>
    <mergeCell ref="H39:H41"/>
    <mergeCell ref="I39:I53"/>
    <mergeCell ref="J39:K53"/>
    <mergeCell ref="L39:P43"/>
    <mergeCell ref="Q39:Q43"/>
    <mergeCell ref="L47:P48"/>
    <mergeCell ref="Q47:Q48"/>
    <mergeCell ref="L53:P53"/>
    <mergeCell ref="L49:P49"/>
    <mergeCell ref="L50:P50"/>
    <mergeCell ref="L51:P52"/>
    <mergeCell ref="Q51:Q52"/>
    <mergeCell ref="L44:P46"/>
    <mergeCell ref="Q44:Q46"/>
    <mergeCell ref="B23:E23"/>
    <mergeCell ref="F23:Q23"/>
    <mergeCell ref="A32:A126"/>
    <mergeCell ref="B32:G34"/>
    <mergeCell ref="H32:H34"/>
    <mergeCell ref="I32:I34"/>
    <mergeCell ref="J32:K34"/>
    <mergeCell ref="B35:G37"/>
    <mergeCell ref="H35:H37"/>
    <mergeCell ref="I35:K37"/>
    <mergeCell ref="L35:P37"/>
    <mergeCell ref="Q35:Q37"/>
    <mergeCell ref="B42:G44"/>
    <mergeCell ref="H42:H44"/>
    <mergeCell ref="B45:G53"/>
    <mergeCell ref="H45:H53"/>
    <mergeCell ref="Q61:Q63"/>
    <mergeCell ref="B76:G77"/>
    <mergeCell ref="H76:H77"/>
    <mergeCell ref="L76:P77"/>
    <mergeCell ref="Q76:Q77"/>
    <mergeCell ref="B109:G110"/>
    <mergeCell ref="H109:H110"/>
    <mergeCell ref="B101:G106"/>
    <mergeCell ref="B15:E15"/>
    <mergeCell ref="F15:Q15"/>
    <mergeCell ref="B16:E16"/>
    <mergeCell ref="F16:Q16"/>
    <mergeCell ref="P7:Q7"/>
    <mergeCell ref="B8:E8"/>
    <mergeCell ref="F8:G8"/>
    <mergeCell ref="H8:I8"/>
    <mergeCell ref="J8:K8"/>
    <mergeCell ref="L8:M8"/>
    <mergeCell ref="N8:O8"/>
    <mergeCell ref="P8:Q8"/>
    <mergeCell ref="B7:E7"/>
    <mergeCell ref="F7:G7"/>
    <mergeCell ref="H7:I7"/>
    <mergeCell ref="J7:K7"/>
    <mergeCell ref="L7:M7"/>
    <mergeCell ref="N7:O7"/>
    <mergeCell ref="F9:I11"/>
    <mergeCell ref="J9:M11"/>
    <mergeCell ref="N9:Q11"/>
    <mergeCell ref="AC37:AC38"/>
    <mergeCell ref="F6:G6"/>
    <mergeCell ref="H6:I6"/>
    <mergeCell ref="J6:K6"/>
    <mergeCell ref="L6:M6"/>
    <mergeCell ref="N6:O6"/>
    <mergeCell ref="P6:Q6"/>
    <mergeCell ref="T1:U1"/>
    <mergeCell ref="S2:U2"/>
    <mergeCell ref="S3:U3"/>
    <mergeCell ref="S4:U4"/>
    <mergeCell ref="F5:I5"/>
    <mergeCell ref="J5:M5"/>
    <mergeCell ref="N5:Q5"/>
    <mergeCell ref="F17:I18"/>
    <mergeCell ref="J17:M18"/>
    <mergeCell ref="N17:Q18"/>
    <mergeCell ref="F19:I19"/>
    <mergeCell ref="J19:M19"/>
    <mergeCell ref="N19:Q19"/>
    <mergeCell ref="R35:S37"/>
    <mergeCell ref="T35:T37"/>
    <mergeCell ref="U35:U37"/>
    <mergeCell ref="B38:G38"/>
  </mergeCells>
  <conditionalFormatting sqref="AA39">
    <cfRule type="containsText" dxfId="404" priority="70" operator="containsText" text="Ja">
      <formula>NOT(ISERROR(SEARCH("Ja",AA39)))</formula>
    </cfRule>
  </conditionalFormatting>
  <conditionalFormatting sqref="AA233">
    <cfRule type="containsText" dxfId="403" priority="62" operator="containsText" text="Ja">
      <formula>NOT(ISERROR(SEARCH("Ja",AA233)))</formula>
    </cfRule>
  </conditionalFormatting>
  <conditionalFormatting sqref="AA55">
    <cfRule type="containsText" dxfId="402" priority="69" operator="containsText" text="Ja">
      <formula>NOT(ISERROR(SEARCH("Ja",AA55)))</formula>
    </cfRule>
  </conditionalFormatting>
  <conditionalFormatting sqref="AA79">
    <cfRule type="containsText" dxfId="401" priority="68" operator="containsText" text="Ja">
      <formula>NOT(ISERROR(SEARCH("Ja",AA79)))</formula>
    </cfRule>
  </conditionalFormatting>
  <conditionalFormatting sqref="AA113">
    <cfRule type="containsText" dxfId="400" priority="67" operator="containsText" text="Ja">
      <formula>NOT(ISERROR(SEARCH("Ja",AA113)))</formula>
    </cfRule>
  </conditionalFormatting>
  <conditionalFormatting sqref="AA125">
    <cfRule type="containsText" dxfId="399" priority="66" operator="containsText" text="Ja">
      <formula>NOT(ISERROR(SEARCH("Ja",AA125)))</formula>
    </cfRule>
  </conditionalFormatting>
  <conditionalFormatting sqref="AA151">
    <cfRule type="containsText" dxfId="398" priority="65" operator="containsText" text="Ja">
      <formula>NOT(ISERROR(SEARCH("Ja",AA151)))</formula>
    </cfRule>
  </conditionalFormatting>
  <conditionalFormatting sqref="AA176">
    <cfRule type="containsText" dxfId="397" priority="64" operator="containsText" text="Ja">
      <formula>NOT(ISERROR(SEARCH("Ja",AA176)))</formula>
    </cfRule>
  </conditionalFormatting>
  <conditionalFormatting sqref="AA191">
    <cfRule type="containsText" dxfId="396" priority="63" operator="containsText" text="Ja">
      <formula>NOT(ISERROR(SEARCH("Ja",AA191)))</formula>
    </cfRule>
  </conditionalFormatting>
  <conditionalFormatting sqref="B281:B289">
    <cfRule type="cellIs" dxfId="395" priority="61" operator="greaterThan">
      <formula>0</formula>
    </cfRule>
  </conditionalFormatting>
  <conditionalFormatting sqref="C281:P289">
    <cfRule type="expression" dxfId="394" priority="60">
      <formula>$B281&gt;=1</formula>
    </cfRule>
  </conditionalFormatting>
  <conditionalFormatting sqref="C282:P282">
    <cfRule type="expression" dxfId="393" priority="59">
      <formula>$B282&gt;=1</formula>
    </cfRule>
  </conditionalFormatting>
  <conditionalFormatting sqref="C283:P283">
    <cfRule type="expression" dxfId="392" priority="58">
      <formula>$B283&gt;=1</formula>
    </cfRule>
  </conditionalFormatting>
  <conditionalFormatting sqref="C284:P284">
    <cfRule type="expression" dxfId="391" priority="57">
      <formula>$B284&gt;=1</formula>
    </cfRule>
  </conditionalFormatting>
  <conditionalFormatting sqref="C285:P285">
    <cfRule type="expression" dxfId="390" priority="56">
      <formula>$B285&gt;=1</formula>
    </cfRule>
  </conditionalFormatting>
  <conditionalFormatting sqref="C286:P286">
    <cfRule type="expression" dxfId="389" priority="55">
      <formula>$B286&gt;=1</formula>
    </cfRule>
  </conditionalFormatting>
  <conditionalFormatting sqref="C287:P287">
    <cfRule type="expression" dxfId="388" priority="54">
      <formula>$B287&gt;=1</formula>
    </cfRule>
  </conditionalFormatting>
  <conditionalFormatting sqref="C288:P289">
    <cfRule type="expression" dxfId="387" priority="53">
      <formula>$B288&gt;=1</formula>
    </cfRule>
  </conditionalFormatting>
  <conditionalFormatting sqref="C281:P289">
    <cfRule type="cellIs" dxfId="386" priority="52" operator="greaterThan">
      <formula>0</formula>
    </cfRule>
  </conditionalFormatting>
  <conditionalFormatting sqref="F23">
    <cfRule type="expression" dxfId="385" priority="51">
      <formula>$H$8+$L$8+$P$8&gt;0</formula>
    </cfRule>
  </conditionalFormatting>
  <conditionalFormatting sqref="R230">
    <cfRule type="expression" dxfId="384" priority="9">
      <formula>Q230="ja"</formula>
    </cfRule>
  </conditionalFormatting>
  <conditionalFormatting sqref="R236">
    <cfRule type="expression" dxfId="383" priority="8">
      <formula>Q236="ja"</formula>
    </cfRule>
  </conditionalFormatting>
  <conditionalFormatting sqref="R239">
    <cfRule type="expression" dxfId="382" priority="7">
      <formula>Q239="ja"</formula>
    </cfRule>
  </conditionalFormatting>
  <conditionalFormatting sqref="R242">
    <cfRule type="expression" dxfId="381" priority="6">
      <formula>Q242="ja"</formula>
    </cfRule>
  </conditionalFormatting>
  <conditionalFormatting sqref="R39">
    <cfRule type="expression" dxfId="380" priority="50">
      <formula>Q39="ja"</formula>
    </cfRule>
  </conditionalFormatting>
  <conditionalFormatting sqref="R44">
    <cfRule type="expression" dxfId="379" priority="49">
      <formula>Q44="ja"</formula>
    </cfRule>
  </conditionalFormatting>
  <conditionalFormatting sqref="R47">
    <cfRule type="expression" dxfId="378" priority="48">
      <formula>Q47="ja"</formula>
    </cfRule>
  </conditionalFormatting>
  <conditionalFormatting sqref="R49 R51 R53">
    <cfRule type="expression" dxfId="377" priority="47">
      <formula>Q49="ja"</formula>
    </cfRule>
  </conditionalFormatting>
  <conditionalFormatting sqref="R50">
    <cfRule type="expression" dxfId="376" priority="46">
      <formula>Q50="ja"</formula>
    </cfRule>
  </conditionalFormatting>
  <conditionalFormatting sqref="R55">
    <cfRule type="expression" dxfId="375" priority="45">
      <formula>Q55="ja"</formula>
    </cfRule>
  </conditionalFormatting>
  <conditionalFormatting sqref="R58 R61 R64 R67 R70 R73">
    <cfRule type="expression" dxfId="374" priority="44">
      <formula>Q58="ja"</formula>
    </cfRule>
  </conditionalFormatting>
  <conditionalFormatting sqref="R76">
    <cfRule type="expression" dxfId="373" priority="43">
      <formula>Q76="ja"</formula>
    </cfRule>
  </conditionalFormatting>
  <conditionalFormatting sqref="R82 R85 R88 R91 R94:R95 R98 R101 R104 R107 R110">
    <cfRule type="expression" dxfId="372" priority="42">
      <formula>Q82="ja"</formula>
    </cfRule>
  </conditionalFormatting>
  <conditionalFormatting sqref="R113">
    <cfRule type="expression" dxfId="371" priority="41">
      <formula>Q113="ja"</formula>
    </cfRule>
  </conditionalFormatting>
  <conditionalFormatting sqref="R125">
    <cfRule type="expression" dxfId="370" priority="38">
      <formula>Q125="ja"</formula>
    </cfRule>
  </conditionalFormatting>
  <conditionalFormatting sqref="R119">
    <cfRule type="expression" dxfId="369" priority="40">
      <formula>Q119="ja"</formula>
    </cfRule>
  </conditionalFormatting>
  <conditionalFormatting sqref="R122">
    <cfRule type="expression" dxfId="368" priority="39">
      <formula>Q122="ja"</formula>
    </cfRule>
  </conditionalFormatting>
  <conditionalFormatting sqref="R128">
    <cfRule type="expression" dxfId="367" priority="37">
      <formula>Q128="ja"</formula>
    </cfRule>
  </conditionalFormatting>
  <conditionalFormatting sqref="R131">
    <cfRule type="expression" dxfId="366" priority="36">
      <formula>Q131="ja"</formula>
    </cfRule>
  </conditionalFormatting>
  <conditionalFormatting sqref="R133">
    <cfRule type="expression" dxfId="365" priority="35">
      <formula>Q133="ja"</formula>
    </cfRule>
  </conditionalFormatting>
  <conditionalFormatting sqref="R136">
    <cfRule type="expression" dxfId="364" priority="34">
      <formula>Q136="ja"</formula>
    </cfRule>
  </conditionalFormatting>
  <conditionalFormatting sqref="R139">
    <cfRule type="expression" dxfId="363" priority="33">
      <formula>Q139="ja"</formula>
    </cfRule>
  </conditionalFormatting>
  <conditionalFormatting sqref="R142">
    <cfRule type="expression" dxfId="362" priority="32">
      <formula>Q142="ja"</formula>
    </cfRule>
  </conditionalFormatting>
  <conditionalFormatting sqref="R143">
    <cfRule type="expression" dxfId="361" priority="31">
      <formula>Q143="ja"</formula>
    </cfRule>
  </conditionalFormatting>
  <conditionalFormatting sqref="R144">
    <cfRule type="expression" dxfId="360" priority="30">
      <formula>Q144="ja"</formula>
    </cfRule>
  </conditionalFormatting>
  <conditionalFormatting sqref="R145">
    <cfRule type="expression" dxfId="359" priority="29">
      <formula>Q145="ja"</formula>
    </cfRule>
  </conditionalFormatting>
  <conditionalFormatting sqref="R148">
    <cfRule type="expression" dxfId="358" priority="28">
      <formula>Q148="ja"</formula>
    </cfRule>
  </conditionalFormatting>
  <conditionalFormatting sqref="R150">
    <cfRule type="expression" dxfId="357" priority="27">
      <formula>Q150="ja"</formula>
    </cfRule>
  </conditionalFormatting>
  <conditionalFormatting sqref="R154">
    <cfRule type="expression" dxfId="356" priority="26">
      <formula>Q154="ja"</formula>
    </cfRule>
  </conditionalFormatting>
  <conditionalFormatting sqref="R157:R164">
    <cfRule type="expression" dxfId="355" priority="25">
      <formula>Q157="ja"</formula>
    </cfRule>
  </conditionalFormatting>
  <conditionalFormatting sqref="R167">
    <cfRule type="expression" dxfId="354" priority="24">
      <formula>Q167="ja"</formula>
    </cfRule>
  </conditionalFormatting>
  <conditionalFormatting sqref="R170">
    <cfRule type="expression" dxfId="353" priority="23">
      <formula>Q170="ja"</formula>
    </cfRule>
  </conditionalFormatting>
  <conditionalFormatting sqref="R174">
    <cfRule type="expression" dxfId="352" priority="22">
      <formula>Q174="ja"</formula>
    </cfRule>
  </conditionalFormatting>
  <conditionalFormatting sqref="R177">
    <cfRule type="expression" dxfId="351" priority="21">
      <formula>Q177="ja"</formula>
    </cfRule>
  </conditionalFormatting>
  <conditionalFormatting sqref="R179">
    <cfRule type="expression" dxfId="350" priority="20">
      <formula>Q179="ja"</formula>
    </cfRule>
  </conditionalFormatting>
  <conditionalFormatting sqref="R182">
    <cfRule type="expression" dxfId="349" priority="19">
      <formula>Q182="ja"</formula>
    </cfRule>
  </conditionalFormatting>
  <conditionalFormatting sqref="R185">
    <cfRule type="expression" dxfId="348" priority="18">
      <formula>Q185="ja"</formula>
    </cfRule>
  </conditionalFormatting>
  <conditionalFormatting sqref="R188">
    <cfRule type="expression" dxfId="347" priority="17">
      <formula>Q188="ja"</formula>
    </cfRule>
  </conditionalFormatting>
  <conditionalFormatting sqref="R191">
    <cfRule type="expression" dxfId="346" priority="16">
      <formula>Q191="ja"</formula>
    </cfRule>
  </conditionalFormatting>
  <conditionalFormatting sqref="R227">
    <cfRule type="expression" dxfId="345" priority="10">
      <formula>Q227="ja"</formula>
    </cfRule>
  </conditionalFormatting>
  <conditionalFormatting sqref="R194">
    <cfRule type="expression" dxfId="344" priority="15">
      <formula>Q194="ja"</formula>
    </cfRule>
  </conditionalFormatting>
  <conditionalFormatting sqref="R206">
    <cfRule type="expression" dxfId="343" priority="14">
      <formula>Q206="ja"</formula>
    </cfRule>
  </conditionalFormatting>
  <conditionalFormatting sqref="R209">
    <cfRule type="expression" dxfId="342" priority="13">
      <formula>Q209="ja"</formula>
    </cfRule>
  </conditionalFormatting>
  <conditionalFormatting sqref="R212">
    <cfRule type="expression" dxfId="341" priority="12">
      <formula>Q212="ja"</formula>
    </cfRule>
  </conditionalFormatting>
  <conditionalFormatting sqref="R218">
    <cfRule type="expression" dxfId="340" priority="11">
      <formula>Q218="ja"</formula>
    </cfRule>
  </conditionalFormatting>
  <conditionalFormatting sqref="T154:T177">
    <cfRule type="cellIs" dxfId="339" priority="5" operator="equal">
      <formula>"ja"</formula>
    </cfRule>
  </conditionalFormatting>
  <conditionalFormatting sqref="T39:T53 T55:T77 T82:T114">
    <cfRule type="cellIs" dxfId="338" priority="4" operator="equal">
      <formula>"ja"</formula>
    </cfRule>
  </conditionalFormatting>
  <conditionalFormatting sqref="T119:T126">
    <cfRule type="cellIs" dxfId="337" priority="3" operator="equal">
      <formula>"ja"</formula>
    </cfRule>
  </conditionalFormatting>
  <conditionalFormatting sqref="T128:T152">
    <cfRule type="cellIs" dxfId="336" priority="2" operator="equal">
      <formula>"ja"</formula>
    </cfRule>
  </conditionalFormatting>
  <conditionalFormatting sqref="T179:T192 T194:T234 T236:T244">
    <cfRule type="cellIs" dxfId="335" priority="1" operator="equal">
      <formula>"ja"</formula>
    </cfRule>
  </conditionalFormatting>
  <conditionalFormatting sqref="R204">
    <cfRule type="expression" dxfId="334" priority="71">
      <formula>Q204="ja"</formula>
    </cfRule>
  </conditionalFormatting>
  <dataValidations disablePrompts="1" count="2">
    <dataValidation type="list" allowBlank="1" showInputMessage="1" showErrorMessage="1" sqref="F15:Q15" xr:uid="{8DB4B496-468C-481D-BC2E-4D80AD908DFE}">
      <formula1>$V$15:$V$17</formula1>
    </dataValidation>
    <dataValidation type="list" allowBlank="1" showInputMessage="1" showErrorMessage="1" sqref="Q39:Q53 H154:H177 H128:H152 H119:H126 H236:H244 H82:H114 H55:H77 H194:H234 H179:H192 H39:H53 Q55:Q77 Q82:Q114 Q236:Q244 Q179:Q192 Q154:Q177 Q128:Q152 Q119:Q126 Q194 Q204 Q206:Q212 Q218 Q227:Q230" xr:uid="{61F716EF-9F03-46E7-BF1F-D36AE38F7643}">
      <formula1>$T$32:$T$33</formula1>
    </dataValidation>
  </dataValidations>
  <pageMargins left="0.23622047244094491" right="0.23622047244094491" top="0.74803149606299213" bottom="0.74803149606299213" header="0.31496062992125984" footer="0.31496062992125984"/>
  <pageSetup paperSize="9" scale="50" fitToHeight="8" orientation="portrait" r:id="rId1"/>
  <rowBreaks count="3" manualBreakCount="3">
    <brk id="87" max="16383" man="1"/>
    <brk id="188" max="16383" man="1"/>
    <brk id="277" max="16383"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21FF8EA0-EC99-42C2-84F3-720E21D23258}">
          <x14:formula1>
            <xm:f>'Berechnung - Abwasser'!$B$138:$B$147</xm:f>
          </x14:formula1>
          <xm:sqref>U39:U114 U119:U126 U128:U152 U154:U177 U179:U234 U236:U244</xm:sqref>
        </x14:dataValidation>
        <x14:dataValidation type="list" allowBlank="1" showInputMessage="1" showErrorMessage="1" xr:uid="{154D018B-F4B5-42F5-85F9-4C01F8AB1253}">
          <x14:formula1>
            <xm:f>'Berechnung - Hochbau'!$H$52:$H$56</xm:f>
          </x14:formula1>
          <xm:sqref>F16</xm:sqref>
        </x14:dataValidation>
        <x14:dataValidation type="list" allowBlank="1" showInputMessage="1" showErrorMessage="1" xr:uid="{C60C7AA2-BB72-4CDF-8A28-5518E6564D46}">
          <x14:formula1>
            <xm:f>'Berechnung - Hochbau'!$B$109:$B$112</xm:f>
          </x14:formula1>
          <xm:sqref>R5:S6 W5:X6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175C-2F31-492B-AA89-EA53EFEBD1B9}">
  <sheetPr>
    <tabColor rgb="FFFFC000"/>
  </sheetPr>
  <dimension ref="A1:Q156"/>
  <sheetViews>
    <sheetView workbookViewId="0"/>
  </sheetViews>
  <sheetFormatPr baseColWidth="10" defaultColWidth="11.44140625" defaultRowHeight="14.55" x14ac:dyDescent="0.3"/>
  <cols>
    <col min="1" max="1" width="12.6640625" style="384" bestFit="1" customWidth="1"/>
    <col min="2" max="2" width="11.5546875" style="384" bestFit="1" customWidth="1"/>
    <col min="3" max="4" width="11.6640625" style="384" bestFit="1" customWidth="1"/>
    <col min="5" max="5" width="11.5546875" style="384" bestFit="1" customWidth="1"/>
    <col min="6" max="7" width="11.6640625" style="384" bestFit="1" customWidth="1"/>
    <col min="8" max="8" width="15" style="384" bestFit="1" customWidth="1"/>
    <col min="9" max="9" width="11.6640625" style="384" bestFit="1" customWidth="1"/>
    <col min="10" max="12" width="12" style="384" bestFit="1" customWidth="1"/>
    <col min="13" max="16" width="11.5546875" style="384" bestFit="1" customWidth="1"/>
    <col min="17" max="17" width="12" style="384" bestFit="1" customWidth="1"/>
    <col min="18" max="16384" width="11.44140625" style="384"/>
  </cols>
  <sheetData>
    <row r="1" spans="1:13" s="74" customFormat="1" ht="26.25" customHeight="1" thickBot="1" x14ac:dyDescent="0.35">
      <c r="A1" s="417"/>
      <c r="B1" s="418" t="s">
        <v>462</v>
      </c>
      <c r="C1" s="419"/>
      <c r="D1" s="419"/>
      <c r="E1" s="419"/>
      <c r="F1" s="419"/>
      <c r="G1" s="419"/>
      <c r="H1" s="419"/>
      <c r="I1" s="419"/>
      <c r="J1" s="419"/>
      <c r="K1" s="419"/>
      <c r="L1" s="420"/>
      <c r="M1" s="419"/>
    </row>
    <row r="2" spans="1:13" ht="15" customHeight="1" x14ac:dyDescent="0.3">
      <c r="A2" s="1195" t="s">
        <v>321</v>
      </c>
      <c r="B2" s="390"/>
      <c r="C2" s="1200" t="s">
        <v>322</v>
      </c>
      <c r="D2" s="1201"/>
      <c r="E2" s="390"/>
      <c r="F2" s="1200" t="s">
        <v>323</v>
      </c>
      <c r="G2" s="1201"/>
      <c r="H2" s="390"/>
      <c r="I2" s="1200" t="s">
        <v>324</v>
      </c>
      <c r="J2" s="1201"/>
    </row>
    <row r="3" spans="1:13" ht="15" customHeight="1" x14ac:dyDescent="0.3">
      <c r="A3" s="1196"/>
      <c r="B3" s="390"/>
      <c r="C3" s="1202" t="s">
        <v>328</v>
      </c>
      <c r="D3" s="1203"/>
      <c r="E3" s="390"/>
      <c r="F3" s="1202" t="s">
        <v>329</v>
      </c>
      <c r="G3" s="1203"/>
      <c r="H3" s="390"/>
      <c r="I3" s="1202" t="s">
        <v>330</v>
      </c>
      <c r="J3" s="1203"/>
    </row>
    <row r="4" spans="1:13" x14ac:dyDescent="0.3">
      <c r="A4" s="1196"/>
      <c r="B4" s="390"/>
      <c r="C4" s="388" t="s">
        <v>332</v>
      </c>
      <c r="D4" s="389" t="s">
        <v>333</v>
      </c>
      <c r="E4" s="390"/>
      <c r="F4" s="388" t="s">
        <v>332</v>
      </c>
      <c r="G4" s="389" t="s">
        <v>333</v>
      </c>
      <c r="H4" s="390"/>
      <c r="I4" s="388" t="s">
        <v>332</v>
      </c>
      <c r="J4" s="389" t="s">
        <v>333</v>
      </c>
    </row>
    <row r="5" spans="1:13" ht="15.2" thickBot="1" x14ac:dyDescent="0.35">
      <c r="A5" s="1197"/>
      <c r="B5" s="390"/>
      <c r="C5" s="1198" t="s">
        <v>3</v>
      </c>
      <c r="D5" s="1199"/>
      <c r="E5" s="390"/>
      <c r="F5" s="1198" t="s">
        <v>3</v>
      </c>
      <c r="G5" s="1199"/>
      <c r="H5" s="390"/>
      <c r="I5" s="1198" t="s">
        <v>3</v>
      </c>
      <c r="J5" s="1199"/>
    </row>
    <row r="6" spans="1:13" x14ac:dyDescent="0.3">
      <c r="A6" s="421">
        <v>5000</v>
      </c>
      <c r="B6" s="422"/>
      <c r="C6" s="423">
        <v>2132</v>
      </c>
      <c r="D6" s="424">
        <v>2547</v>
      </c>
      <c r="E6" s="422"/>
      <c r="F6" s="425">
        <v>2547</v>
      </c>
      <c r="G6" s="426">
        <v>2990</v>
      </c>
      <c r="H6" s="422"/>
      <c r="I6" s="425">
        <v>2990</v>
      </c>
      <c r="J6" s="426">
        <v>3405</v>
      </c>
    </row>
    <row r="7" spans="1:13" x14ac:dyDescent="0.3">
      <c r="A7" s="427">
        <v>10000</v>
      </c>
      <c r="B7" s="422"/>
      <c r="C7" s="428">
        <v>3689</v>
      </c>
      <c r="D7" s="429">
        <v>4408</v>
      </c>
      <c r="E7" s="422"/>
      <c r="F7" s="428">
        <v>4408</v>
      </c>
      <c r="G7" s="430">
        <v>5174</v>
      </c>
      <c r="H7" s="422"/>
      <c r="I7" s="428">
        <v>5174</v>
      </c>
      <c r="J7" s="430">
        <v>5893</v>
      </c>
    </row>
    <row r="8" spans="1:13" x14ac:dyDescent="0.3">
      <c r="A8" s="427">
        <v>15000</v>
      </c>
      <c r="B8" s="422"/>
      <c r="C8" s="428">
        <v>5084</v>
      </c>
      <c r="D8" s="429">
        <v>6075</v>
      </c>
      <c r="E8" s="422"/>
      <c r="F8" s="428">
        <v>6075</v>
      </c>
      <c r="G8" s="430">
        <v>7131</v>
      </c>
      <c r="H8" s="422"/>
      <c r="I8" s="428">
        <v>7131</v>
      </c>
      <c r="J8" s="430">
        <v>8122</v>
      </c>
    </row>
    <row r="9" spans="1:13" x14ac:dyDescent="0.3">
      <c r="A9" s="427">
        <v>25000</v>
      </c>
      <c r="B9" s="422"/>
      <c r="C9" s="428">
        <v>7615</v>
      </c>
      <c r="D9" s="429">
        <v>9098</v>
      </c>
      <c r="E9" s="422"/>
      <c r="F9" s="428">
        <v>9098</v>
      </c>
      <c r="G9" s="430">
        <v>10681</v>
      </c>
      <c r="H9" s="422"/>
      <c r="I9" s="428">
        <v>10681</v>
      </c>
      <c r="J9" s="430">
        <v>12164</v>
      </c>
    </row>
    <row r="10" spans="1:13" x14ac:dyDescent="0.3">
      <c r="A10" s="427">
        <v>35000</v>
      </c>
      <c r="B10" s="422"/>
      <c r="C10" s="428">
        <v>9934</v>
      </c>
      <c r="D10" s="429">
        <v>11869</v>
      </c>
      <c r="E10" s="422"/>
      <c r="F10" s="428">
        <v>11869</v>
      </c>
      <c r="G10" s="430">
        <v>13934</v>
      </c>
      <c r="H10" s="422"/>
      <c r="I10" s="428">
        <v>13934</v>
      </c>
      <c r="J10" s="430">
        <v>15869</v>
      </c>
    </row>
    <row r="11" spans="1:13" x14ac:dyDescent="0.3">
      <c r="A11" s="427">
        <v>50000</v>
      </c>
      <c r="B11" s="422"/>
      <c r="C11" s="428">
        <v>13165</v>
      </c>
      <c r="D11" s="429">
        <v>15729</v>
      </c>
      <c r="E11" s="422"/>
      <c r="F11" s="428">
        <v>15729</v>
      </c>
      <c r="G11" s="430">
        <v>18465</v>
      </c>
      <c r="H11" s="422"/>
      <c r="I11" s="428">
        <v>18465</v>
      </c>
      <c r="J11" s="430">
        <v>21029</v>
      </c>
    </row>
    <row r="12" spans="1:13" x14ac:dyDescent="0.3">
      <c r="A12" s="427">
        <v>75000</v>
      </c>
      <c r="B12" s="422"/>
      <c r="C12" s="428">
        <v>18122</v>
      </c>
      <c r="D12" s="429">
        <v>21652</v>
      </c>
      <c r="E12" s="422"/>
      <c r="F12" s="428">
        <v>21652</v>
      </c>
      <c r="G12" s="430">
        <v>25418</v>
      </c>
      <c r="H12" s="422"/>
      <c r="I12" s="428">
        <v>25418</v>
      </c>
      <c r="J12" s="430">
        <v>28948</v>
      </c>
    </row>
    <row r="13" spans="1:13" x14ac:dyDescent="0.3">
      <c r="A13" s="427">
        <v>100000</v>
      </c>
      <c r="B13" s="422"/>
      <c r="C13" s="428">
        <v>22723</v>
      </c>
      <c r="D13" s="429">
        <v>27150</v>
      </c>
      <c r="E13" s="422"/>
      <c r="F13" s="428">
        <v>27150</v>
      </c>
      <c r="G13" s="430">
        <v>31872</v>
      </c>
      <c r="H13" s="422"/>
      <c r="I13" s="428">
        <v>31872</v>
      </c>
      <c r="J13" s="430">
        <v>36299</v>
      </c>
    </row>
    <row r="14" spans="1:13" x14ac:dyDescent="0.3">
      <c r="A14" s="427">
        <v>150000</v>
      </c>
      <c r="B14" s="422"/>
      <c r="C14" s="428">
        <v>31228</v>
      </c>
      <c r="D14" s="429">
        <v>37311</v>
      </c>
      <c r="E14" s="422"/>
      <c r="F14" s="428">
        <v>37311</v>
      </c>
      <c r="G14" s="430">
        <v>43800</v>
      </c>
      <c r="H14" s="422"/>
      <c r="I14" s="428">
        <v>43800</v>
      </c>
      <c r="J14" s="430">
        <v>49883</v>
      </c>
    </row>
    <row r="15" spans="1:13" x14ac:dyDescent="0.3">
      <c r="A15" s="427">
        <v>250000</v>
      </c>
      <c r="B15" s="422"/>
      <c r="C15" s="428">
        <v>46640</v>
      </c>
      <c r="D15" s="429">
        <v>55726</v>
      </c>
      <c r="E15" s="422"/>
      <c r="F15" s="428">
        <v>55726</v>
      </c>
      <c r="G15" s="430">
        <v>65418</v>
      </c>
      <c r="H15" s="422"/>
      <c r="I15" s="428">
        <v>65418</v>
      </c>
      <c r="J15" s="430">
        <v>74504</v>
      </c>
    </row>
    <row r="16" spans="1:13" x14ac:dyDescent="0.3">
      <c r="A16" s="427">
        <v>500000</v>
      </c>
      <c r="B16" s="422"/>
      <c r="C16" s="428">
        <v>80684</v>
      </c>
      <c r="D16" s="429">
        <v>96402</v>
      </c>
      <c r="E16" s="422"/>
      <c r="F16" s="428">
        <v>96402</v>
      </c>
      <c r="G16" s="430">
        <v>113168</v>
      </c>
      <c r="H16" s="422"/>
      <c r="I16" s="428">
        <v>113168</v>
      </c>
      <c r="J16" s="430">
        <v>128886</v>
      </c>
    </row>
    <row r="17" spans="1:10" x14ac:dyDescent="0.3">
      <c r="A17" s="427">
        <v>750000</v>
      </c>
      <c r="B17" s="422"/>
      <c r="C17" s="428">
        <v>111105</v>
      </c>
      <c r="D17" s="429">
        <v>132749</v>
      </c>
      <c r="E17" s="422"/>
      <c r="F17" s="428">
        <v>132749</v>
      </c>
      <c r="G17" s="430">
        <v>155836</v>
      </c>
      <c r="H17" s="422"/>
      <c r="I17" s="428">
        <v>155836</v>
      </c>
      <c r="J17" s="430">
        <v>177480</v>
      </c>
    </row>
    <row r="18" spans="1:10" x14ac:dyDescent="0.3">
      <c r="A18" s="427">
        <v>1000000</v>
      </c>
      <c r="B18" s="422"/>
      <c r="C18" s="428">
        <v>139347</v>
      </c>
      <c r="D18" s="429">
        <v>166493</v>
      </c>
      <c r="E18" s="422"/>
      <c r="F18" s="428">
        <v>166493</v>
      </c>
      <c r="G18" s="430">
        <v>195448</v>
      </c>
      <c r="H18" s="422"/>
      <c r="I18" s="428">
        <v>195448</v>
      </c>
      <c r="J18" s="430">
        <v>222594</v>
      </c>
    </row>
    <row r="19" spans="1:10" x14ac:dyDescent="0.3">
      <c r="A19" s="427">
        <v>1250000</v>
      </c>
      <c r="B19" s="422"/>
      <c r="C19" s="428">
        <v>166043</v>
      </c>
      <c r="D19" s="429">
        <v>198389</v>
      </c>
      <c r="E19" s="422"/>
      <c r="F19" s="428">
        <v>198389</v>
      </c>
      <c r="G19" s="430">
        <v>232891</v>
      </c>
      <c r="H19" s="422"/>
      <c r="I19" s="428">
        <v>232891</v>
      </c>
      <c r="J19" s="430">
        <v>265237</v>
      </c>
    </row>
    <row r="20" spans="1:10" x14ac:dyDescent="0.3">
      <c r="A20" s="427">
        <v>1500000</v>
      </c>
      <c r="B20" s="422"/>
      <c r="C20" s="428">
        <v>191545</v>
      </c>
      <c r="D20" s="429">
        <v>228859</v>
      </c>
      <c r="E20" s="422"/>
      <c r="F20" s="428">
        <v>228859</v>
      </c>
      <c r="G20" s="430">
        <v>268660</v>
      </c>
      <c r="H20" s="422"/>
      <c r="I20" s="428">
        <v>268660</v>
      </c>
      <c r="J20" s="430">
        <v>305974</v>
      </c>
    </row>
    <row r="21" spans="1:10" x14ac:dyDescent="0.3">
      <c r="A21" s="427">
        <v>2000000</v>
      </c>
      <c r="B21" s="422"/>
      <c r="C21" s="428">
        <v>239792</v>
      </c>
      <c r="D21" s="429">
        <v>286504</v>
      </c>
      <c r="E21" s="422"/>
      <c r="F21" s="428">
        <v>286504</v>
      </c>
      <c r="G21" s="430">
        <v>336331</v>
      </c>
      <c r="H21" s="422"/>
      <c r="I21" s="428">
        <v>336331</v>
      </c>
      <c r="J21" s="430">
        <v>383044</v>
      </c>
    </row>
    <row r="22" spans="1:10" x14ac:dyDescent="0.3">
      <c r="A22" s="427">
        <v>2500000</v>
      </c>
      <c r="B22" s="422"/>
      <c r="C22" s="428">
        <v>285649</v>
      </c>
      <c r="D22" s="429">
        <v>341295</v>
      </c>
      <c r="E22" s="422"/>
      <c r="F22" s="428">
        <v>341295</v>
      </c>
      <c r="G22" s="430">
        <v>400650</v>
      </c>
      <c r="H22" s="422"/>
      <c r="I22" s="428">
        <v>400650</v>
      </c>
      <c r="J22" s="430">
        <v>456296</v>
      </c>
    </row>
    <row r="23" spans="1:10" x14ac:dyDescent="0.3">
      <c r="A23" s="427">
        <v>3000000</v>
      </c>
      <c r="B23" s="422"/>
      <c r="C23" s="428">
        <v>329420</v>
      </c>
      <c r="D23" s="429">
        <v>393593</v>
      </c>
      <c r="E23" s="422"/>
      <c r="F23" s="428">
        <v>393593</v>
      </c>
      <c r="G23" s="430">
        <v>462044</v>
      </c>
      <c r="H23" s="422"/>
      <c r="I23" s="428">
        <v>462044</v>
      </c>
      <c r="J23" s="430">
        <v>526217</v>
      </c>
    </row>
    <row r="24" spans="1:10" x14ac:dyDescent="0.3">
      <c r="A24" s="427">
        <v>3500000</v>
      </c>
      <c r="B24" s="422"/>
      <c r="C24" s="428">
        <v>371491</v>
      </c>
      <c r="D24" s="429">
        <v>443859</v>
      </c>
      <c r="E24" s="422"/>
      <c r="F24" s="428">
        <v>443859</v>
      </c>
      <c r="G24" s="430">
        <v>521052</v>
      </c>
      <c r="H24" s="422"/>
      <c r="I24" s="428">
        <v>521052</v>
      </c>
      <c r="J24" s="430">
        <v>593420</v>
      </c>
    </row>
    <row r="25" spans="1:10" ht="15.2" thickBot="1" x14ac:dyDescent="0.35">
      <c r="A25" s="427">
        <v>4000000</v>
      </c>
      <c r="B25" s="431"/>
      <c r="C25" s="428">
        <v>412126</v>
      </c>
      <c r="D25" s="429">
        <v>492410</v>
      </c>
      <c r="E25" s="432"/>
      <c r="F25" s="428">
        <v>492410</v>
      </c>
      <c r="G25" s="429">
        <v>578046</v>
      </c>
      <c r="H25" s="422"/>
      <c r="I25" s="428">
        <v>578046</v>
      </c>
      <c r="J25" s="429">
        <v>658331</v>
      </c>
    </row>
    <row r="26" spans="1:10" x14ac:dyDescent="0.3">
      <c r="A26" s="427">
        <v>5000000</v>
      </c>
      <c r="B26" s="1255" t="s">
        <v>334</v>
      </c>
      <c r="C26" s="428">
        <v>491179</v>
      </c>
      <c r="D26" s="429">
        <v>586864</v>
      </c>
      <c r="E26" s="1255" t="s">
        <v>334</v>
      </c>
      <c r="F26" s="428">
        <f>D26</f>
        <v>586864</v>
      </c>
      <c r="G26" s="429">
        <v>688927</v>
      </c>
      <c r="H26" s="1255" t="s">
        <v>334</v>
      </c>
      <c r="I26" s="428">
        <f>G26</f>
        <v>688927</v>
      </c>
      <c r="J26" s="429">
        <v>784611</v>
      </c>
    </row>
    <row r="27" spans="1:10" x14ac:dyDescent="0.3">
      <c r="A27" s="427">
        <v>6000000</v>
      </c>
      <c r="B27" s="1256"/>
      <c r="C27" s="428">
        <v>566898</v>
      </c>
      <c r="D27" s="429">
        <v>677333</v>
      </c>
      <c r="E27" s="1256"/>
      <c r="F27" s="428">
        <f>D27</f>
        <v>677333</v>
      </c>
      <c r="G27" s="429">
        <v>795130</v>
      </c>
      <c r="H27" s="1256"/>
      <c r="I27" s="428">
        <f>G27</f>
        <v>795130</v>
      </c>
      <c r="J27" s="429">
        <v>905564</v>
      </c>
    </row>
    <row r="28" spans="1:10" x14ac:dyDescent="0.3">
      <c r="A28" s="427">
        <v>7000000</v>
      </c>
      <c r="B28" s="1256"/>
      <c r="C28" s="428">
        <v>639950</v>
      </c>
      <c r="D28" s="429">
        <v>764616</v>
      </c>
      <c r="E28" s="1256"/>
      <c r="F28" s="428">
        <f t="shared" ref="F28:F44" si="0">D28</f>
        <v>764616</v>
      </c>
      <c r="G28" s="429">
        <v>897593</v>
      </c>
      <c r="H28" s="1256"/>
      <c r="I28" s="428">
        <f t="shared" ref="I28:I44" si="1">G28</f>
        <v>897593</v>
      </c>
      <c r="J28" s="429">
        <v>1022258</v>
      </c>
    </row>
    <row r="29" spans="1:10" x14ac:dyDescent="0.3">
      <c r="A29" s="427">
        <v>8000000</v>
      </c>
      <c r="B29" s="1256"/>
      <c r="C29" s="428">
        <v>710795</v>
      </c>
      <c r="D29" s="429">
        <v>849261</v>
      </c>
      <c r="E29" s="1256"/>
      <c r="F29" s="428">
        <f t="shared" si="0"/>
        <v>849261</v>
      </c>
      <c r="G29" s="429">
        <v>996959</v>
      </c>
      <c r="H29" s="1256"/>
      <c r="I29" s="428">
        <f t="shared" si="1"/>
        <v>996959</v>
      </c>
      <c r="J29" s="429">
        <v>1135425</v>
      </c>
    </row>
    <row r="30" spans="1:10" x14ac:dyDescent="0.3">
      <c r="A30" s="427">
        <v>9000000</v>
      </c>
      <c r="B30" s="1256"/>
      <c r="C30" s="428">
        <v>779763</v>
      </c>
      <c r="D30" s="429">
        <v>931665</v>
      </c>
      <c r="E30" s="1256"/>
      <c r="F30" s="428">
        <f t="shared" si="0"/>
        <v>931665</v>
      </c>
      <c r="G30" s="429">
        <v>1093694</v>
      </c>
      <c r="H30" s="1256"/>
      <c r="I30" s="428">
        <f t="shared" si="1"/>
        <v>1093694</v>
      </c>
      <c r="J30" s="429">
        <v>1245595</v>
      </c>
    </row>
    <row r="31" spans="1:10" x14ac:dyDescent="0.3">
      <c r="A31" s="427">
        <v>10000000</v>
      </c>
      <c r="B31" s="1256"/>
      <c r="C31" s="428">
        <v>847106</v>
      </c>
      <c r="D31" s="429">
        <v>1012127</v>
      </c>
      <c r="E31" s="1256"/>
      <c r="F31" s="428">
        <f t="shared" si="0"/>
        <v>1012127</v>
      </c>
      <c r="G31" s="429">
        <v>1188149</v>
      </c>
      <c r="H31" s="1256"/>
      <c r="I31" s="428">
        <f t="shared" si="1"/>
        <v>1188149</v>
      </c>
      <c r="J31" s="429">
        <v>1353170</v>
      </c>
    </row>
    <row r="32" spans="1:10" x14ac:dyDescent="0.3">
      <c r="A32" s="427">
        <v>12500000</v>
      </c>
      <c r="B32" s="1256"/>
      <c r="C32" s="428">
        <v>1009545</v>
      </c>
      <c r="D32" s="429">
        <v>1206209</v>
      </c>
      <c r="E32" s="1256"/>
      <c r="F32" s="428">
        <f t="shared" si="0"/>
        <v>1206209</v>
      </c>
      <c r="G32" s="429">
        <v>1415985</v>
      </c>
      <c r="H32" s="1256"/>
      <c r="I32" s="428">
        <f t="shared" si="1"/>
        <v>1415985</v>
      </c>
      <c r="J32" s="429">
        <v>1612649</v>
      </c>
    </row>
    <row r="33" spans="1:17" x14ac:dyDescent="0.3">
      <c r="A33" s="427">
        <v>15000000</v>
      </c>
      <c r="B33" s="1256"/>
      <c r="C33" s="428">
        <v>1165120</v>
      </c>
      <c r="D33" s="429">
        <v>1392092</v>
      </c>
      <c r="E33" s="1256"/>
      <c r="F33" s="428">
        <f t="shared" si="0"/>
        <v>1392092</v>
      </c>
      <c r="G33" s="429">
        <v>1634195</v>
      </c>
      <c r="H33" s="1256"/>
      <c r="I33" s="428">
        <f t="shared" si="1"/>
        <v>1634195</v>
      </c>
      <c r="J33" s="429">
        <v>1861166</v>
      </c>
    </row>
    <row r="34" spans="1:17" x14ac:dyDescent="0.3">
      <c r="A34" s="427">
        <v>17500000</v>
      </c>
      <c r="B34" s="1256"/>
      <c r="C34" s="428">
        <v>1315210</v>
      </c>
      <c r="D34" s="429">
        <v>1571419</v>
      </c>
      <c r="E34" s="1256"/>
      <c r="F34" s="428">
        <f t="shared" si="0"/>
        <v>1571419</v>
      </c>
      <c r="G34" s="429">
        <v>1844710</v>
      </c>
      <c r="H34" s="1256"/>
      <c r="I34" s="428">
        <f t="shared" si="1"/>
        <v>1844710</v>
      </c>
      <c r="J34" s="429">
        <v>2100919</v>
      </c>
    </row>
    <row r="35" spans="1:17" x14ac:dyDescent="0.3">
      <c r="A35" s="427">
        <v>20000000</v>
      </c>
      <c r="B35" s="1256"/>
      <c r="C35" s="428">
        <v>1460755</v>
      </c>
      <c r="D35" s="429">
        <v>1745318</v>
      </c>
      <c r="E35" s="1256"/>
      <c r="F35" s="428">
        <f t="shared" si="0"/>
        <v>1745318</v>
      </c>
      <c r="G35" s="429">
        <v>2048852</v>
      </c>
      <c r="H35" s="1256"/>
      <c r="I35" s="428">
        <f t="shared" si="1"/>
        <v>2048852</v>
      </c>
      <c r="J35" s="429">
        <v>2333414</v>
      </c>
    </row>
    <row r="36" spans="1:17" x14ac:dyDescent="0.3">
      <c r="A36" s="427">
        <v>25000000</v>
      </c>
      <c r="B36" s="1256"/>
      <c r="C36" s="428">
        <v>1740783</v>
      </c>
      <c r="D36" s="429">
        <v>2079896</v>
      </c>
      <c r="E36" s="1256"/>
      <c r="F36" s="428">
        <f t="shared" si="0"/>
        <v>2079896</v>
      </c>
      <c r="G36" s="429">
        <v>2441617</v>
      </c>
      <c r="H36" s="1256"/>
      <c r="I36" s="428">
        <f t="shared" si="1"/>
        <v>2441617</v>
      </c>
      <c r="J36" s="429">
        <v>2780731</v>
      </c>
    </row>
    <row r="37" spans="1:17" x14ac:dyDescent="0.3">
      <c r="A37" s="427">
        <v>30000000</v>
      </c>
      <c r="B37" s="1256"/>
      <c r="C37" s="428">
        <v>2008964</v>
      </c>
      <c r="D37" s="429">
        <v>2400321</v>
      </c>
      <c r="E37" s="1256"/>
      <c r="F37" s="428">
        <f t="shared" si="0"/>
        <v>2400321</v>
      </c>
      <c r="G37" s="429">
        <v>2817768</v>
      </c>
      <c r="H37" s="1256"/>
      <c r="I37" s="428">
        <f t="shared" si="1"/>
        <v>2817768</v>
      </c>
      <c r="J37" s="429">
        <v>3209125</v>
      </c>
    </row>
    <row r="38" spans="1:17" x14ac:dyDescent="0.3">
      <c r="A38" s="427">
        <v>40000000</v>
      </c>
      <c r="B38" s="1256"/>
      <c r="C38" s="428">
        <v>2518545</v>
      </c>
      <c r="D38" s="429">
        <v>3009171</v>
      </c>
      <c r="E38" s="1256"/>
      <c r="F38" s="428">
        <f t="shared" si="0"/>
        <v>3009171</v>
      </c>
      <c r="G38" s="429">
        <v>3532505</v>
      </c>
      <c r="H38" s="1256"/>
      <c r="I38" s="428">
        <f t="shared" si="1"/>
        <v>3532505</v>
      </c>
      <c r="J38" s="429">
        <v>4023130</v>
      </c>
    </row>
    <row r="39" spans="1:17" x14ac:dyDescent="0.3">
      <c r="A39" s="427">
        <v>50000000</v>
      </c>
      <c r="B39" s="1256"/>
      <c r="C39" s="428">
        <v>3001186</v>
      </c>
      <c r="D39" s="429">
        <v>3585832</v>
      </c>
      <c r="E39" s="1256"/>
      <c r="F39" s="428">
        <f t="shared" si="0"/>
        <v>3585832</v>
      </c>
      <c r="G39" s="429">
        <v>4209455</v>
      </c>
      <c r="H39" s="1256"/>
      <c r="I39" s="428">
        <f t="shared" si="1"/>
        <v>4209455</v>
      </c>
      <c r="J39" s="429">
        <v>4794102</v>
      </c>
    </row>
    <row r="40" spans="1:17" x14ac:dyDescent="0.3">
      <c r="A40" s="427">
        <v>75000000</v>
      </c>
      <c r="B40" s="1256"/>
      <c r="C40" s="428">
        <v>4126934</v>
      </c>
      <c r="D40" s="429">
        <v>4930882</v>
      </c>
      <c r="E40" s="1256"/>
      <c r="F40" s="428">
        <f t="shared" si="0"/>
        <v>4930882</v>
      </c>
      <c r="G40" s="429">
        <v>5788426</v>
      </c>
      <c r="H40" s="1256"/>
      <c r="I40" s="428">
        <f t="shared" si="1"/>
        <v>5788426</v>
      </c>
      <c r="J40" s="429">
        <v>6592374</v>
      </c>
    </row>
    <row r="41" spans="1:17" x14ac:dyDescent="0.3">
      <c r="A41" s="427">
        <v>100000000</v>
      </c>
      <c r="B41" s="1256"/>
      <c r="C41" s="428">
        <v>5173197</v>
      </c>
      <c r="D41" s="429">
        <v>6180963</v>
      </c>
      <c r="E41" s="1256"/>
      <c r="F41" s="428">
        <f t="shared" si="0"/>
        <v>6180963</v>
      </c>
      <c r="G41" s="429">
        <v>7255913</v>
      </c>
      <c r="H41" s="1256"/>
      <c r="I41" s="428">
        <f t="shared" si="1"/>
        <v>7255913</v>
      </c>
      <c r="J41" s="429">
        <v>8263678</v>
      </c>
    </row>
    <row r="42" spans="1:17" x14ac:dyDescent="0.3">
      <c r="A42" s="427">
        <v>150000000</v>
      </c>
      <c r="B42" s="1256"/>
      <c r="C42" s="428">
        <v>7112783</v>
      </c>
      <c r="D42" s="429">
        <v>8498390</v>
      </c>
      <c r="E42" s="1256"/>
      <c r="F42" s="428">
        <f t="shared" si="0"/>
        <v>8498390</v>
      </c>
      <c r="G42" s="429">
        <v>9976370</v>
      </c>
      <c r="H42" s="1256"/>
      <c r="I42" s="428">
        <f t="shared" si="1"/>
        <v>9976370</v>
      </c>
      <c r="J42" s="429">
        <v>11361977</v>
      </c>
    </row>
    <row r="43" spans="1:17" x14ac:dyDescent="0.3">
      <c r="A43" s="427">
        <v>200000000</v>
      </c>
      <c r="B43" s="1256"/>
      <c r="C43" s="428">
        <v>8915172</v>
      </c>
      <c r="D43" s="429">
        <v>10651893</v>
      </c>
      <c r="E43" s="1256"/>
      <c r="F43" s="428">
        <f t="shared" si="0"/>
        <v>10651893</v>
      </c>
      <c r="G43" s="429">
        <v>12504397</v>
      </c>
      <c r="H43" s="1256"/>
      <c r="I43" s="428">
        <f t="shared" si="1"/>
        <v>12504397</v>
      </c>
      <c r="J43" s="429">
        <v>14241118</v>
      </c>
    </row>
    <row r="44" spans="1:17" ht="15.2" thickBot="1" x14ac:dyDescent="0.35">
      <c r="A44" s="433">
        <v>250000000</v>
      </c>
      <c r="B44" s="1257"/>
      <c r="C44" s="434">
        <v>10621878</v>
      </c>
      <c r="D44" s="435">
        <v>12691074</v>
      </c>
      <c r="E44" s="1257"/>
      <c r="F44" s="434">
        <f t="shared" si="0"/>
        <v>12691074</v>
      </c>
      <c r="G44" s="435">
        <v>14898218</v>
      </c>
      <c r="H44" s="1257"/>
      <c r="I44" s="434">
        <f t="shared" si="1"/>
        <v>14898218</v>
      </c>
      <c r="J44" s="435">
        <v>16967415</v>
      </c>
    </row>
    <row r="45" spans="1:17" x14ac:dyDescent="0.3">
      <c r="A45" s="436"/>
      <c r="B45" s="431"/>
      <c r="C45" s="436"/>
      <c r="D45" s="436"/>
      <c r="E45" s="431"/>
      <c r="F45" s="436"/>
      <c r="G45" s="436"/>
      <c r="H45" s="431"/>
      <c r="I45" s="436"/>
      <c r="J45" s="436"/>
    </row>
    <row r="46" spans="1:17" s="445" customFormat="1" ht="26.25" customHeight="1" x14ac:dyDescent="0.3">
      <c r="A46" s="437"/>
      <c r="B46" s="438" t="s">
        <v>497</v>
      </c>
      <c r="C46" s="439"/>
      <c r="D46" s="439"/>
      <c r="E46" s="440"/>
      <c r="F46" s="439"/>
      <c r="G46" s="439"/>
      <c r="H46" s="440"/>
      <c r="I46" s="439"/>
      <c r="J46" s="439"/>
      <c r="K46" s="439"/>
      <c r="L46" s="441"/>
      <c r="M46" s="442"/>
      <c r="N46" s="443"/>
      <c r="O46" s="443"/>
      <c r="P46" s="443"/>
      <c r="Q46" s="444"/>
    </row>
    <row r="47" spans="1:17" x14ac:dyDescent="0.3">
      <c r="A47" s="446"/>
      <c r="B47" s="383"/>
      <c r="C47" s="74"/>
      <c r="D47" s="74"/>
      <c r="E47" s="447"/>
      <c r="F47" s="74"/>
      <c r="G47" s="74"/>
      <c r="H47" s="447"/>
      <c r="I47" s="74"/>
      <c r="J47" s="74"/>
      <c r="K47" s="74"/>
      <c r="L47" s="448"/>
      <c r="M47" s="74"/>
      <c r="N47" s="443"/>
      <c r="O47" s="443"/>
      <c r="P47" s="443"/>
      <c r="Q47" s="444"/>
    </row>
    <row r="48" spans="1:17" x14ac:dyDescent="0.3">
      <c r="A48" s="446"/>
      <c r="B48" s="449" t="s">
        <v>464</v>
      </c>
      <c r="C48" s="74"/>
      <c r="D48" s="74"/>
      <c r="E48" s="447"/>
      <c r="F48" s="74"/>
      <c r="G48" s="74"/>
      <c r="H48" s="447"/>
      <c r="I48" s="74"/>
      <c r="J48" s="74"/>
      <c r="K48" s="74"/>
      <c r="L48" s="448"/>
      <c r="M48" s="74"/>
      <c r="N48" s="443"/>
      <c r="O48" s="443"/>
      <c r="P48" s="443"/>
      <c r="Q48" s="444"/>
    </row>
    <row r="49" spans="1:17" x14ac:dyDescent="0.3">
      <c r="A49" s="450"/>
      <c r="C49" s="74"/>
      <c r="D49" s="74"/>
      <c r="E49" s="447"/>
      <c r="F49" s="74"/>
      <c r="G49" s="74"/>
      <c r="H49" s="447"/>
      <c r="I49" s="74"/>
      <c r="J49" s="74"/>
      <c r="K49" s="74"/>
      <c r="L49" s="448"/>
      <c r="M49" s="74"/>
      <c r="N49" s="443"/>
      <c r="O49" s="443"/>
      <c r="P49" s="443"/>
      <c r="Q49" s="444"/>
    </row>
    <row r="50" spans="1:17" x14ac:dyDescent="0.3">
      <c r="A50" s="450"/>
      <c r="C50" s="74"/>
      <c r="D50" s="451"/>
      <c r="E50" s="451"/>
      <c r="F50" s="451"/>
      <c r="G50" s="1204" t="s">
        <v>465</v>
      </c>
      <c r="H50" s="1204"/>
      <c r="I50" s="74"/>
      <c r="J50" s="1204"/>
      <c r="K50" s="1204"/>
      <c r="L50" s="452"/>
      <c r="M50" s="451"/>
      <c r="N50" s="443"/>
      <c r="O50" s="443"/>
      <c r="P50" s="443"/>
      <c r="Q50" s="444"/>
    </row>
    <row r="51" spans="1:17" x14ac:dyDescent="0.3">
      <c r="A51" s="450"/>
      <c r="C51" s="74"/>
      <c r="D51" s="74"/>
      <c r="E51" s="447"/>
      <c r="F51" s="74"/>
      <c r="G51" s="74"/>
      <c r="H51" s="447"/>
      <c r="I51" s="74"/>
      <c r="J51" s="74"/>
      <c r="K51" s="74"/>
      <c r="L51" s="448"/>
      <c r="M51" s="74"/>
      <c r="N51" s="443"/>
      <c r="O51" s="443"/>
      <c r="P51" s="443"/>
      <c r="Q51" s="444"/>
    </row>
    <row r="52" spans="1:17" x14ac:dyDescent="0.3">
      <c r="A52" s="453"/>
      <c r="B52" s="74"/>
      <c r="C52" s="74"/>
      <c r="D52" s="74"/>
      <c r="E52" s="447"/>
      <c r="F52" s="74"/>
      <c r="G52" s="1252" t="s">
        <v>337</v>
      </c>
      <c r="H52" s="387">
        <v>1</v>
      </c>
      <c r="I52" s="74"/>
      <c r="J52" s="74"/>
      <c r="K52" s="397"/>
      <c r="L52" s="448"/>
      <c r="M52" s="74"/>
      <c r="N52" s="443"/>
      <c r="O52" s="443"/>
      <c r="P52" s="443"/>
      <c r="Q52" s="444"/>
    </row>
    <row r="53" spans="1:17" x14ac:dyDescent="0.3">
      <c r="A53" s="453"/>
      <c r="B53" s="74"/>
      <c r="C53" s="74"/>
      <c r="D53" s="74"/>
      <c r="E53" s="447"/>
      <c r="F53" s="74"/>
      <c r="G53" s="1253"/>
      <c r="H53" s="387">
        <v>2</v>
      </c>
      <c r="I53" s="74"/>
      <c r="J53" s="74"/>
      <c r="K53" s="397"/>
      <c r="L53" s="448"/>
      <c r="M53" s="74"/>
      <c r="N53" s="443"/>
      <c r="O53" s="443"/>
      <c r="P53" s="443"/>
      <c r="Q53" s="444"/>
    </row>
    <row r="54" spans="1:17" x14ac:dyDescent="0.3">
      <c r="A54" s="453"/>
      <c r="B54" s="74"/>
      <c r="C54" s="74"/>
      <c r="D54" s="74"/>
      <c r="E54" s="447"/>
      <c r="F54" s="74"/>
      <c r="G54" s="1254"/>
      <c r="H54" s="387">
        <v>3</v>
      </c>
      <c r="I54" s="74"/>
      <c r="J54" s="74"/>
      <c r="K54" s="397"/>
      <c r="L54" s="448"/>
      <c r="M54" s="74"/>
      <c r="N54" s="443"/>
      <c r="O54" s="443"/>
      <c r="P54" s="443"/>
      <c r="Q54" s="444"/>
    </row>
    <row r="55" spans="1:17" x14ac:dyDescent="0.3">
      <c r="A55" s="453"/>
      <c r="B55" s="74"/>
      <c r="C55" s="74"/>
      <c r="D55" s="74"/>
      <c r="E55" s="447"/>
      <c r="F55" s="74"/>
      <c r="G55" s="74"/>
      <c r="H55" s="447"/>
      <c r="I55" s="74"/>
      <c r="J55" s="74"/>
      <c r="K55" s="74"/>
      <c r="L55" s="448"/>
      <c r="M55" s="74"/>
      <c r="N55" s="443"/>
      <c r="O55" s="443"/>
      <c r="P55" s="443"/>
      <c r="Q55" s="444"/>
    </row>
    <row r="56" spans="1:17" x14ac:dyDescent="0.3">
      <c r="A56" s="446"/>
      <c r="B56" s="74"/>
      <c r="C56" s="454"/>
      <c r="D56" s="74"/>
      <c r="E56" s="397"/>
      <c r="F56" s="454"/>
      <c r="G56" s="1188" t="s">
        <v>338</v>
      </c>
      <c r="H56" s="387" t="s">
        <v>148</v>
      </c>
      <c r="I56" s="454"/>
      <c r="J56" s="74"/>
      <c r="K56" s="397"/>
      <c r="L56" s="455"/>
      <c r="M56" s="74"/>
      <c r="N56" s="443"/>
      <c r="O56" s="443"/>
      <c r="P56" s="443"/>
      <c r="Q56" s="444"/>
    </row>
    <row r="57" spans="1:17" x14ac:dyDescent="0.3">
      <c r="A57" s="446"/>
      <c r="B57" s="74"/>
      <c r="C57" s="454"/>
      <c r="D57" s="74"/>
      <c r="E57" s="397"/>
      <c r="F57" s="454"/>
      <c r="G57" s="1188"/>
      <c r="H57" s="387" t="s">
        <v>339</v>
      </c>
      <c r="I57" s="454"/>
      <c r="J57" s="74"/>
      <c r="K57" s="397"/>
      <c r="L57" s="455"/>
      <c r="M57" s="74"/>
      <c r="N57" s="443"/>
      <c r="O57" s="443"/>
      <c r="P57" s="443"/>
      <c r="Q57" s="444"/>
    </row>
    <row r="58" spans="1:17" x14ac:dyDescent="0.3">
      <c r="A58" s="446"/>
      <c r="B58" s="74"/>
      <c r="C58" s="74"/>
      <c r="D58" s="74"/>
      <c r="E58" s="397"/>
      <c r="F58" s="74"/>
      <c r="G58" s="1188"/>
      <c r="H58" s="387" t="s">
        <v>340</v>
      </c>
      <c r="I58" s="74"/>
      <c r="J58" s="74"/>
      <c r="K58" s="397"/>
      <c r="L58" s="448"/>
      <c r="M58" s="74"/>
      <c r="N58" s="443"/>
      <c r="O58" s="443"/>
      <c r="P58" s="443"/>
      <c r="Q58" s="444"/>
    </row>
    <row r="59" spans="1:17" x14ac:dyDescent="0.3">
      <c r="A59" s="446"/>
      <c r="B59" s="74"/>
      <c r="C59" s="74"/>
      <c r="D59" s="74"/>
      <c r="E59" s="397"/>
      <c r="F59" s="74"/>
      <c r="G59" s="1188"/>
      <c r="H59" s="387" t="s">
        <v>341</v>
      </c>
      <c r="I59" s="74"/>
      <c r="J59" s="74"/>
      <c r="K59" s="416"/>
      <c r="L59" s="448"/>
      <c r="M59" s="74"/>
      <c r="N59" s="443"/>
      <c r="O59" s="443"/>
      <c r="P59" s="443"/>
      <c r="Q59" s="444"/>
    </row>
    <row r="60" spans="1:17" x14ac:dyDescent="0.3">
      <c r="A60" s="446"/>
      <c r="B60" s="74"/>
      <c r="C60" s="74"/>
      <c r="D60" s="74"/>
      <c r="E60" s="397"/>
      <c r="F60" s="74"/>
      <c r="G60" s="1188"/>
      <c r="H60" s="387" t="s">
        <v>342</v>
      </c>
      <c r="I60" s="74"/>
      <c r="J60" s="74"/>
      <c r="K60" s="416"/>
      <c r="L60" s="448"/>
      <c r="M60" s="74"/>
      <c r="N60" s="443"/>
      <c r="O60" s="443"/>
      <c r="P60" s="443"/>
      <c r="Q60" s="444"/>
    </row>
    <row r="61" spans="1:17" ht="15.95" customHeight="1" thickBot="1" x14ac:dyDescent="0.35">
      <c r="A61" s="446"/>
      <c r="K61" s="73"/>
      <c r="L61" s="456"/>
      <c r="N61" s="443"/>
      <c r="O61" s="443"/>
      <c r="P61" s="443"/>
      <c r="Q61" s="444"/>
    </row>
    <row r="62" spans="1:17" ht="15.95" customHeight="1" thickBot="1" x14ac:dyDescent="0.35">
      <c r="A62" s="446"/>
      <c r="B62" s="1259" t="s">
        <v>466</v>
      </c>
      <c r="C62" s="1260"/>
      <c r="D62" s="1260"/>
      <c r="E62" s="1261"/>
      <c r="F62" s="457"/>
      <c r="G62" s="1262">
        <f>'Technische Ausrüstung'!H8</f>
        <v>0</v>
      </c>
      <c r="H62" s="1263"/>
      <c r="I62" s="1262">
        <f>'Technische Ausrüstung'!L8</f>
        <v>0</v>
      </c>
      <c r="J62" s="1263"/>
      <c r="K62" s="1262">
        <f>'Technische Ausrüstung'!P8</f>
        <v>0</v>
      </c>
      <c r="L62" s="1263"/>
      <c r="N62" s="443"/>
      <c r="O62" s="443"/>
      <c r="P62" s="443"/>
      <c r="Q62" s="444"/>
    </row>
    <row r="63" spans="1:17" ht="15.95" customHeight="1" x14ac:dyDescent="0.3">
      <c r="A63" s="446"/>
      <c r="K63" s="73"/>
      <c r="L63" s="456"/>
      <c r="N63" s="443"/>
      <c r="O63" s="443"/>
      <c r="P63" s="443"/>
      <c r="Q63" s="444"/>
    </row>
    <row r="64" spans="1:17" x14ac:dyDescent="0.3">
      <c r="A64" s="446"/>
      <c r="B64" s="1242" t="s">
        <v>337</v>
      </c>
      <c r="C64" s="1243"/>
      <c r="D64" s="1243"/>
      <c r="E64" s="1244"/>
      <c r="F64" s="458"/>
      <c r="G64" s="1181">
        <f>'Technische Ausrüstung'!F15</f>
        <v>1</v>
      </c>
      <c r="H64" s="1182"/>
      <c r="J64" s="1258"/>
      <c r="K64" s="1258"/>
      <c r="L64" s="456"/>
      <c r="M64" s="459"/>
      <c r="N64" s="443"/>
      <c r="O64" s="443"/>
      <c r="P64" s="443"/>
      <c r="Q64" s="444"/>
    </row>
    <row r="65" spans="1:17" x14ac:dyDescent="0.3">
      <c r="A65" s="446"/>
      <c r="B65" s="1242" t="s">
        <v>338</v>
      </c>
      <c r="C65" s="1243"/>
      <c r="D65" s="1243"/>
      <c r="E65" s="1244"/>
      <c r="F65" s="458"/>
      <c r="G65" s="1181" t="str">
        <f>'Technische Ausrüstung'!F16</f>
        <v>Basishonorarsatz</v>
      </c>
      <c r="H65" s="1182"/>
      <c r="J65" s="1258"/>
      <c r="K65" s="1258"/>
      <c r="L65" s="456"/>
      <c r="M65" s="459"/>
      <c r="N65" s="443"/>
      <c r="O65" s="443"/>
      <c r="P65" s="443"/>
      <c r="Q65" s="444"/>
    </row>
    <row r="66" spans="1:17" x14ac:dyDescent="0.3">
      <c r="A66" s="446"/>
      <c r="B66" s="74"/>
      <c r="C66" s="74"/>
      <c r="D66" s="74"/>
      <c r="E66" s="74"/>
      <c r="F66" s="74"/>
      <c r="G66" s="74"/>
      <c r="H66" s="74"/>
      <c r="L66" s="456"/>
      <c r="N66" s="443"/>
      <c r="O66" s="443"/>
      <c r="P66" s="443"/>
      <c r="Q66" s="444"/>
    </row>
    <row r="67" spans="1:17" x14ac:dyDescent="0.3">
      <c r="A67" s="446"/>
      <c r="B67" s="449" t="s">
        <v>467</v>
      </c>
      <c r="C67" s="74"/>
      <c r="D67" s="74"/>
      <c r="E67" s="74"/>
      <c r="F67" s="74"/>
      <c r="G67" s="74"/>
      <c r="H67" s="74"/>
      <c r="L67" s="456"/>
      <c r="N67" s="443"/>
      <c r="O67" s="443"/>
      <c r="P67" s="443"/>
      <c r="Q67" s="444"/>
    </row>
    <row r="68" spans="1:17" x14ac:dyDescent="0.3">
      <c r="A68" s="446"/>
      <c r="B68" s="449"/>
      <c r="C68" s="74"/>
      <c r="D68" s="74"/>
      <c r="E68" s="74"/>
      <c r="F68" s="74"/>
      <c r="G68" s="74"/>
      <c r="H68" s="74"/>
      <c r="L68" s="456"/>
      <c r="N68" s="443"/>
      <c r="O68" s="443"/>
      <c r="P68" s="443"/>
      <c r="Q68" s="444"/>
    </row>
    <row r="69" spans="1:17" x14ac:dyDescent="0.3">
      <c r="A69" s="446"/>
      <c r="B69" s="74"/>
      <c r="C69" s="74"/>
      <c r="D69" s="74"/>
      <c r="E69" s="74"/>
      <c r="F69" s="74"/>
      <c r="G69" s="1179" t="s">
        <v>343</v>
      </c>
      <c r="H69" s="1179"/>
      <c r="I69" s="1180" t="s">
        <v>344</v>
      </c>
      <c r="J69" s="1180"/>
      <c r="K69" s="1185" t="s">
        <v>345</v>
      </c>
      <c r="L69" s="1185"/>
      <c r="N69" s="443"/>
      <c r="O69" s="443"/>
      <c r="P69" s="443"/>
      <c r="Q69" s="444"/>
    </row>
    <row r="70" spans="1:17" x14ac:dyDescent="0.3">
      <c r="A70" s="446"/>
      <c r="C70" s="449"/>
      <c r="D70" s="1222" t="s">
        <v>468</v>
      </c>
      <c r="E70" s="1252" t="s">
        <v>337</v>
      </c>
      <c r="F70" s="460"/>
      <c r="G70" s="461" t="s">
        <v>349</v>
      </c>
      <c r="H70" s="462">
        <f>IF(G62&lt;$A$6,0,IF(G62&gt;$A$44,0,VLOOKUP(G62,$A$6:$A$44,1)))</f>
        <v>0</v>
      </c>
      <c r="I70" s="461" t="s">
        <v>349</v>
      </c>
      <c r="J70" s="462">
        <f>IF(I62&lt;$A$6,0,IF(I62&gt;$A$44,0,VLOOKUP(I62,$A$6:$A$44,1)))</f>
        <v>0</v>
      </c>
      <c r="K70" s="461" t="s">
        <v>349</v>
      </c>
      <c r="L70" s="462">
        <f>IF(K62&lt;$A$6,0,IF(K62&gt;$A$44,0,VLOOKUP(K62,$A$6:$A$44,1)))</f>
        <v>0</v>
      </c>
      <c r="M70" s="74"/>
      <c r="N70" s="444"/>
      <c r="O70" s="444"/>
      <c r="P70" s="444"/>
      <c r="Q70" s="444"/>
    </row>
    <row r="71" spans="1:17" x14ac:dyDescent="0.3">
      <c r="A71" s="446"/>
      <c r="B71" s="449"/>
      <c r="C71" s="449"/>
      <c r="D71" s="1223"/>
      <c r="E71" s="1254"/>
      <c r="F71" s="74"/>
      <c r="G71" s="463" t="s">
        <v>148</v>
      </c>
      <c r="H71" s="464" t="s">
        <v>342</v>
      </c>
      <c r="I71" s="463" t="s">
        <v>148</v>
      </c>
      <c r="J71" s="464" t="s">
        <v>342</v>
      </c>
      <c r="K71" s="463" t="s">
        <v>148</v>
      </c>
      <c r="L71" s="464" t="s">
        <v>342</v>
      </c>
      <c r="M71" s="465"/>
      <c r="N71" s="444"/>
      <c r="O71" s="444"/>
      <c r="P71" s="444"/>
      <c r="Q71" s="444"/>
    </row>
    <row r="72" spans="1:17" x14ac:dyDescent="0.3">
      <c r="A72" s="446"/>
      <c r="B72" s="449"/>
      <c r="C72" s="449"/>
      <c r="D72" s="1223"/>
      <c r="E72" s="387">
        <v>1</v>
      </c>
      <c r="F72" s="74"/>
      <c r="G72" s="462">
        <f>IF(G62&lt;$A$6,0,IF(G62&gt;$A$44,0,VLOOKUP(H70,$A$6:$J$44,3)))</f>
        <v>0</v>
      </c>
      <c r="H72" s="462">
        <f>IF(G62&lt;$A$6,0,IF(G62&gt;$A$44,0,VLOOKUP(G72,$C$6:$D$44,2)))</f>
        <v>0</v>
      </c>
      <c r="I72" s="462">
        <f>IF(I62&lt;$A$6,0,IF(I62&gt;$A$44,0,VLOOKUP(J70,$A$6:$J$44,3)))</f>
        <v>0</v>
      </c>
      <c r="J72" s="462">
        <f>IF(I62&lt;$A$6,0,IF(I62&gt;$A$44,0,VLOOKUP(I72,$C$6:$D$44,2)))</f>
        <v>0</v>
      </c>
      <c r="K72" s="462">
        <f>IF(K62&lt;$A$6,0,IF(K62&gt;$A$44,0,VLOOKUP(L70,$A$6:$J$44,3)))</f>
        <v>0</v>
      </c>
      <c r="L72" s="462">
        <f>IF(K62&lt;$A$6,0,IF(K62&gt;$A$44,0,VLOOKUP(K72,$C$6:$D$44,2)))</f>
        <v>0</v>
      </c>
      <c r="M72" s="460"/>
      <c r="N72" s="444"/>
      <c r="O72" s="444"/>
      <c r="P72" s="444"/>
      <c r="Q72" s="444"/>
    </row>
    <row r="73" spans="1:17" x14ac:dyDescent="0.3">
      <c r="A73" s="446"/>
      <c r="B73" s="449"/>
      <c r="C73" s="449"/>
      <c r="D73" s="1223"/>
      <c r="E73" s="387">
        <v>2</v>
      </c>
      <c r="F73" s="74"/>
      <c r="G73" s="462">
        <f>IF(G62&lt;$A$6,0,IF(G62&gt;$A$44,0,VLOOKUP(H70,$A$6:$J$44,6)))</f>
        <v>0</v>
      </c>
      <c r="H73" s="462">
        <f>IF(G62&lt;$A$6,0,IF(G62&gt;$A$44,0,VLOOKUP(G73,$F$6:$G$44,2)))</f>
        <v>0</v>
      </c>
      <c r="I73" s="462">
        <f>IF(I62&lt;$A$6,0,IF(I62&gt;$A$44,0,VLOOKUP(J70,$A$6:$J$44,6)))</f>
        <v>0</v>
      </c>
      <c r="J73" s="462">
        <f>IF(I62&lt;$A$6,0,IF(I62&gt;$A$44,0,VLOOKUP(I73,$F$6:$G$44,2)))</f>
        <v>0</v>
      </c>
      <c r="K73" s="462">
        <f>IF(K62&lt;$A$6,0,IF(K62&gt;$A$44,0,VLOOKUP(L70,$A$6:$J$44,6)))</f>
        <v>0</v>
      </c>
      <c r="L73" s="462">
        <f>IF(K62&lt;$A$6,0,IF(K62&gt;$A$44,0,VLOOKUP(K73,$F$6:$G$44,2)))</f>
        <v>0</v>
      </c>
      <c r="M73" s="460"/>
      <c r="N73" s="444"/>
      <c r="O73" s="444"/>
      <c r="P73" s="444"/>
      <c r="Q73" s="444"/>
    </row>
    <row r="74" spans="1:17" x14ac:dyDescent="0.3">
      <c r="A74" s="446"/>
      <c r="B74" s="449"/>
      <c r="C74" s="449"/>
      <c r="D74" s="1224"/>
      <c r="E74" s="387">
        <v>3</v>
      </c>
      <c r="F74" s="74"/>
      <c r="G74" s="462">
        <f>IF(G62&lt;$A$6,0,IF(G62&gt;$A$44,0,VLOOKUP(H70,$A$6:$J$44,9)))</f>
        <v>0</v>
      </c>
      <c r="H74" s="462">
        <f>IF(G62&lt;$A$6,0,IF(G62&gt;$A$44,0,VLOOKUP(G74,$I$6:$J$44,2)))</f>
        <v>0</v>
      </c>
      <c r="I74" s="462">
        <f>IF(I62&lt;$A$6,0,IF(I62&gt;$A$44,0,VLOOKUP(J70,$A$6:$J$44,9)))</f>
        <v>0</v>
      </c>
      <c r="J74" s="462">
        <f>IF(I62&lt;$A$6,0,IF(I62&gt;$A$44,0,VLOOKUP(I74,$I$6:$J$44,2)))</f>
        <v>0</v>
      </c>
      <c r="K74" s="462">
        <f>IF(K62&lt;$A$6,0,IF(K62&gt;$A$44,0,VLOOKUP(L70,$A$6:$J$44,9)))</f>
        <v>0</v>
      </c>
      <c r="L74" s="462">
        <f>IF(K62&lt;$A$6,0,IF(K62&gt;$A$44,0,VLOOKUP(K74,$I$6:$J$44,2)))</f>
        <v>0</v>
      </c>
      <c r="M74" s="460"/>
      <c r="N74" s="444"/>
      <c r="O74" s="444"/>
      <c r="P74" s="444"/>
      <c r="Q74" s="444"/>
    </row>
    <row r="75" spans="1:17" x14ac:dyDescent="0.3">
      <c r="A75" s="446"/>
      <c r="B75" s="396"/>
      <c r="C75" s="396"/>
      <c r="D75" s="396"/>
      <c r="E75" s="74"/>
      <c r="F75" s="74"/>
      <c r="G75" s="466"/>
      <c r="H75" s="465"/>
      <c r="I75" s="73"/>
      <c r="J75" s="73"/>
      <c r="K75" s="73"/>
      <c r="L75" s="467"/>
      <c r="M75" s="73"/>
      <c r="N75" s="444"/>
      <c r="O75" s="444"/>
      <c r="P75" s="444"/>
      <c r="Q75" s="444"/>
    </row>
    <row r="76" spans="1:17" x14ac:dyDescent="0.3">
      <c r="A76" s="446"/>
      <c r="C76" s="449"/>
      <c r="D76" s="1222" t="s">
        <v>469</v>
      </c>
      <c r="E76" s="1252" t="s">
        <v>337</v>
      </c>
      <c r="F76" s="74"/>
      <c r="G76" s="461" t="s">
        <v>349</v>
      </c>
      <c r="H76" s="462">
        <f>IF(G62&lt;$A$6,0,IF(G62&gt;$A$44,0,INDEX($A$6:$A$44,MATCH(G62,$A$6:$A$44,1)+1,1)))</f>
        <v>0</v>
      </c>
      <c r="I76" s="461" t="s">
        <v>349</v>
      </c>
      <c r="J76" s="462">
        <f>IF(I62&lt;$A$6,0,IF(I62&gt;$A$44,0,INDEX($A$6:$A$44,MATCH(I62,$A$6:$A$44,1)+1,1)))</f>
        <v>0</v>
      </c>
      <c r="K76" s="461" t="s">
        <v>349</v>
      </c>
      <c r="L76" s="462">
        <f>IF(K62&lt;$A$6,0,IF(K62&gt;$A$44,0,INDEX($A$6:$A$44,MATCH(K62,$A$6:$A$44,1)+1,1)))</f>
        <v>0</v>
      </c>
      <c r="M76" s="74"/>
      <c r="N76" s="444"/>
      <c r="O76" s="444"/>
      <c r="P76" s="444"/>
      <c r="Q76" s="444"/>
    </row>
    <row r="77" spans="1:17" x14ac:dyDescent="0.3">
      <c r="A77" s="446"/>
      <c r="B77" s="449"/>
      <c r="C77" s="449"/>
      <c r="D77" s="1223"/>
      <c r="E77" s="1254"/>
      <c r="F77" s="74"/>
      <c r="G77" s="463" t="s">
        <v>148</v>
      </c>
      <c r="H77" s="464" t="s">
        <v>342</v>
      </c>
      <c r="I77" s="463" t="s">
        <v>148</v>
      </c>
      <c r="J77" s="464" t="s">
        <v>342</v>
      </c>
      <c r="K77" s="463" t="s">
        <v>148</v>
      </c>
      <c r="L77" s="464" t="s">
        <v>342</v>
      </c>
      <c r="M77" s="465"/>
      <c r="N77" s="444"/>
      <c r="O77" s="444"/>
      <c r="P77" s="444"/>
      <c r="Q77" s="444"/>
    </row>
    <row r="78" spans="1:17" x14ac:dyDescent="0.3">
      <c r="A78" s="446"/>
      <c r="B78" s="449"/>
      <c r="C78" s="449"/>
      <c r="D78" s="1223"/>
      <c r="E78" s="387">
        <v>1</v>
      </c>
      <c r="F78" s="74"/>
      <c r="G78" s="462">
        <f>IF(G62&lt;$A$6,0,IF(G62&gt;$A$44,0,VLOOKUP(H76,$A$6:$J$44,3)))</f>
        <v>0</v>
      </c>
      <c r="H78" s="462">
        <f>IF(G62&lt;$A$6,0,IF(G62&gt;$A$44,0,VLOOKUP(G78,$C$6:$D$44,2)))</f>
        <v>0</v>
      </c>
      <c r="I78" s="462">
        <f>IF(I62&lt;$A$6,0,IF(I62&gt;$A$44,0,VLOOKUP(J76,$A$6:$J$44,3)))</f>
        <v>0</v>
      </c>
      <c r="J78" s="462">
        <f>IF(I62&lt;$A$6,0,IF(I62&gt;$A$44,0,VLOOKUP(I78,$C$6:$D$44,2)))</f>
        <v>0</v>
      </c>
      <c r="K78" s="462">
        <f>IF(K62&lt;$A$6,0,IF(K62&gt;$A$44,0,VLOOKUP(L76,$A$6:$J$44,3)))</f>
        <v>0</v>
      </c>
      <c r="L78" s="462">
        <f>IF(K62&lt;$A$6,0,IF(K62&gt;$A$44,0,VLOOKUP(K78,$C$6:$D$44,2)))</f>
        <v>0</v>
      </c>
      <c r="M78" s="460"/>
      <c r="N78" s="444"/>
      <c r="O78" s="444"/>
      <c r="P78" s="444"/>
      <c r="Q78" s="444"/>
    </row>
    <row r="79" spans="1:17" x14ac:dyDescent="0.3">
      <c r="A79" s="446"/>
      <c r="B79" s="449"/>
      <c r="C79" s="449"/>
      <c r="D79" s="1223"/>
      <c r="E79" s="387">
        <v>2</v>
      </c>
      <c r="F79" s="74"/>
      <c r="G79" s="462">
        <f>IF(G62&lt;$A$6,0,IF(G62&gt;$A$44,0,VLOOKUP(H76,$A$6:$J$44,6)))</f>
        <v>0</v>
      </c>
      <c r="H79" s="462">
        <f>IF(G62&lt;$A$6,0,IF(G62&gt;$A$44,0,VLOOKUP(G79,$F$6:$G$44,2)))</f>
        <v>0</v>
      </c>
      <c r="I79" s="462">
        <f>IF(I62&lt;$A$6,0,IF(I62&gt;$A$44,0,VLOOKUP(J76,$A$6:$J$44,6)))</f>
        <v>0</v>
      </c>
      <c r="J79" s="462">
        <f>IF(I62&lt;$A$6,0,IF(I62&gt;$A$44,0,VLOOKUP(I79,$F$6:$G$44,2)))</f>
        <v>0</v>
      </c>
      <c r="K79" s="462">
        <f>IF(K62&lt;$A$6,0,IF(K62&gt;$A$44,0,VLOOKUP(L76,$A$6:$J$44,6)))</f>
        <v>0</v>
      </c>
      <c r="L79" s="462">
        <f>IF(K62&lt;$A$6,0,IF(K62&gt;$A$44,0,VLOOKUP(K79,$F$6:$G$44,2)))</f>
        <v>0</v>
      </c>
      <c r="M79" s="460"/>
      <c r="N79" s="444"/>
      <c r="O79" s="444"/>
      <c r="P79" s="444"/>
      <c r="Q79" s="444"/>
    </row>
    <row r="80" spans="1:17" x14ac:dyDescent="0.3">
      <c r="A80" s="446"/>
      <c r="B80" s="449"/>
      <c r="C80" s="449"/>
      <c r="D80" s="1224"/>
      <c r="E80" s="387">
        <v>3</v>
      </c>
      <c r="F80" s="74"/>
      <c r="G80" s="462">
        <f>IF(G62&lt;$A$6,0,IF(G62&gt;$A$44,0,VLOOKUP(H76,$A$6:$J$44,9)))</f>
        <v>0</v>
      </c>
      <c r="H80" s="462">
        <f>IF(G62&lt;$A$6,0,IF(G62&gt;$A$44,0,VLOOKUP(G80,$I$6:$J$44,2)))</f>
        <v>0</v>
      </c>
      <c r="I80" s="462">
        <f>IF(I62&lt;$A$6,0,IF(I62&gt;$A$44,0,VLOOKUP(J76,$A$6:$J$44,9)))</f>
        <v>0</v>
      </c>
      <c r="J80" s="462">
        <f>IF(I62&lt;$A$6,0,IF(I62&gt;$A$44,0,VLOOKUP(I80,$I$6:$J$44,2)))</f>
        <v>0</v>
      </c>
      <c r="K80" s="462">
        <f>IF(K62&lt;$A$6,0,IF(K62&gt;$A$44,0,VLOOKUP(L76,$A$6:$J$44,9)))</f>
        <v>0</v>
      </c>
      <c r="L80" s="462">
        <f>IF(K62&lt;$A$6,0,IF(K62&gt;$A$44,0,VLOOKUP(K80,$I$6:$J$44,2)))</f>
        <v>0</v>
      </c>
      <c r="M80" s="460"/>
      <c r="N80" s="444"/>
      <c r="O80" s="444"/>
      <c r="P80" s="444"/>
      <c r="Q80" s="444"/>
    </row>
    <row r="81" spans="1:17" x14ac:dyDescent="0.3">
      <c r="A81" s="446"/>
      <c r="B81" s="73"/>
      <c r="C81" s="73"/>
      <c r="D81" s="73"/>
      <c r="E81" s="73"/>
      <c r="F81" s="73"/>
      <c r="G81" s="73"/>
      <c r="H81" s="73"/>
      <c r="I81" s="73"/>
      <c r="J81" s="73"/>
      <c r="K81" s="73"/>
      <c r="L81" s="467"/>
      <c r="M81" s="73"/>
      <c r="N81" s="444"/>
      <c r="O81" s="444"/>
      <c r="P81" s="444"/>
      <c r="Q81" s="444"/>
    </row>
    <row r="82" spans="1:17" x14ac:dyDescent="0.3">
      <c r="A82" s="446"/>
      <c r="B82" s="383" t="s">
        <v>470</v>
      </c>
      <c r="C82" s="73"/>
      <c r="D82" s="73"/>
      <c r="E82" s="73"/>
      <c r="F82" s="73"/>
      <c r="G82" s="73"/>
      <c r="H82" s="73"/>
      <c r="I82" s="73"/>
      <c r="J82" s="73"/>
      <c r="K82" s="73"/>
      <c r="L82" s="467"/>
      <c r="M82" s="73"/>
      <c r="N82" s="444"/>
      <c r="O82" s="444"/>
      <c r="P82" s="444"/>
      <c r="Q82" s="444"/>
    </row>
    <row r="83" spans="1:17" x14ac:dyDescent="0.3">
      <c r="A83" s="446"/>
      <c r="B83" s="73"/>
      <c r="C83" s="73"/>
      <c r="D83" s="73"/>
      <c r="E83" s="73"/>
      <c r="F83" s="73"/>
      <c r="G83" s="73"/>
      <c r="H83" s="73"/>
      <c r="I83" s="73"/>
      <c r="J83" s="73"/>
      <c r="K83" s="73"/>
      <c r="L83" s="467"/>
      <c r="M83" s="73"/>
      <c r="N83" s="444"/>
      <c r="O83" s="444"/>
      <c r="P83" s="444"/>
      <c r="Q83" s="444"/>
    </row>
    <row r="84" spans="1:17" x14ac:dyDescent="0.3">
      <c r="A84" s="446"/>
      <c r="B84" s="396"/>
      <c r="C84" s="396"/>
      <c r="D84" s="396"/>
      <c r="E84" s="74"/>
      <c r="F84" s="74"/>
      <c r="G84" s="463" t="s">
        <v>148</v>
      </c>
      <c r="H84" s="464" t="s">
        <v>342</v>
      </c>
      <c r="I84" s="463" t="s">
        <v>148</v>
      </c>
      <c r="J84" s="464" t="s">
        <v>342</v>
      </c>
      <c r="K84" s="463" t="s">
        <v>148</v>
      </c>
      <c r="L84" s="464" t="s">
        <v>342</v>
      </c>
      <c r="M84" s="465"/>
      <c r="N84" s="444"/>
      <c r="O84" s="444"/>
      <c r="P84" s="444"/>
      <c r="Q84" s="444"/>
    </row>
    <row r="85" spans="1:17" x14ac:dyDescent="0.3">
      <c r="A85" s="446"/>
      <c r="B85" s="1238" t="s">
        <v>348</v>
      </c>
      <c r="C85" s="1238"/>
      <c r="D85" s="1238"/>
      <c r="E85" s="1238"/>
      <c r="F85" s="74"/>
      <c r="G85" s="468">
        <f>VLOOKUP(G64,E72:H74,3)</f>
        <v>0</v>
      </c>
      <c r="H85" s="468">
        <f>VLOOKUP(G64,E72:H74,4)</f>
        <v>0</v>
      </c>
      <c r="I85" s="468">
        <f>VLOOKUP(G64,E72:J74,5)</f>
        <v>0</v>
      </c>
      <c r="J85" s="468">
        <f>VLOOKUP(G64,E72:J74,6)</f>
        <v>0</v>
      </c>
      <c r="K85" s="468">
        <f>VLOOKUP(G64,E72:K74,7)</f>
        <v>0</v>
      </c>
      <c r="L85" s="468">
        <f>VLOOKUP(G64,E72:L74,8)</f>
        <v>0</v>
      </c>
      <c r="M85" s="469"/>
      <c r="N85" s="444"/>
      <c r="O85" s="444"/>
      <c r="P85" s="444"/>
      <c r="Q85" s="444"/>
    </row>
    <row r="86" spans="1:17" x14ac:dyDescent="0.3">
      <c r="A86" s="446"/>
      <c r="B86" s="1238" t="s">
        <v>350</v>
      </c>
      <c r="C86" s="1238"/>
      <c r="D86" s="1238"/>
      <c r="E86" s="1238"/>
      <c r="F86" s="74"/>
      <c r="G86" s="468">
        <f>VLOOKUP(G64,E78:H80,3)</f>
        <v>0</v>
      </c>
      <c r="H86" s="468">
        <f>VLOOKUP(G64,E78:H80,4)</f>
        <v>0</v>
      </c>
      <c r="I86" s="468">
        <f>VLOOKUP(G64,E78:J80,5)</f>
        <v>0</v>
      </c>
      <c r="J86" s="468">
        <f>VLOOKUP(G64,E78:J80,6)</f>
        <v>0</v>
      </c>
      <c r="K86" s="468">
        <f>VLOOKUP(G64,E78:K80,7)</f>
        <v>0</v>
      </c>
      <c r="L86" s="468">
        <f>VLOOKUP(G64,E78:L80,8)</f>
        <v>0</v>
      </c>
      <c r="M86" s="469"/>
      <c r="N86" s="444"/>
      <c r="O86" s="444"/>
      <c r="P86" s="444"/>
      <c r="Q86" s="444"/>
    </row>
    <row r="87" spans="1:17" x14ac:dyDescent="0.3">
      <c r="A87" s="446"/>
      <c r="B87" s="1245" t="s">
        <v>352</v>
      </c>
      <c r="C87" s="1246"/>
      <c r="D87" s="1246"/>
      <c r="E87" s="1247"/>
      <c r="F87" s="74"/>
      <c r="G87" s="470">
        <f t="shared" ref="G87:L87" si="2">G86-G85</f>
        <v>0</v>
      </c>
      <c r="H87" s="470">
        <f t="shared" si="2"/>
        <v>0</v>
      </c>
      <c r="I87" s="470">
        <f t="shared" si="2"/>
        <v>0</v>
      </c>
      <c r="J87" s="470">
        <f t="shared" si="2"/>
        <v>0</v>
      </c>
      <c r="K87" s="470">
        <f t="shared" si="2"/>
        <v>0</v>
      </c>
      <c r="L87" s="470">
        <f t="shared" si="2"/>
        <v>0</v>
      </c>
      <c r="M87" s="471"/>
      <c r="N87" s="444"/>
      <c r="O87" s="444"/>
      <c r="P87" s="444"/>
      <c r="Q87" s="444"/>
    </row>
    <row r="88" spans="1:17" x14ac:dyDescent="0.3">
      <c r="A88" s="446"/>
      <c r="B88" s="1238" t="s">
        <v>353</v>
      </c>
      <c r="C88" s="1238"/>
      <c r="D88" s="1238"/>
      <c r="E88" s="1238"/>
      <c r="F88" s="74"/>
      <c r="G88" s="470">
        <f>G62-H70</f>
        <v>0</v>
      </c>
      <c r="H88" s="472">
        <f>G64</f>
        <v>1</v>
      </c>
      <c r="I88" s="470">
        <f>I62-J70</f>
        <v>0</v>
      </c>
      <c r="J88" s="472">
        <f>G64</f>
        <v>1</v>
      </c>
      <c r="K88" s="470">
        <f>K62-L70</f>
        <v>0</v>
      </c>
      <c r="L88" s="472">
        <f>G64</f>
        <v>1</v>
      </c>
      <c r="M88" s="471"/>
    </row>
    <row r="89" spans="1:17" x14ac:dyDescent="0.3">
      <c r="A89" s="446"/>
      <c r="B89" s="73"/>
      <c r="C89" s="73"/>
      <c r="D89" s="73"/>
      <c r="E89" s="73"/>
      <c r="F89" s="73"/>
      <c r="G89" s="73"/>
      <c r="H89" s="73"/>
      <c r="I89" s="73"/>
      <c r="J89" s="73"/>
      <c r="K89" s="73"/>
      <c r="L89" s="467"/>
      <c r="M89" s="73"/>
    </row>
    <row r="90" spans="1:17" x14ac:dyDescent="0.3">
      <c r="A90" s="446"/>
      <c r="B90" s="383" t="s">
        <v>471</v>
      </c>
      <c r="C90" s="73"/>
      <c r="D90" s="73"/>
      <c r="E90" s="73"/>
      <c r="F90" s="73"/>
      <c r="G90" s="73"/>
      <c r="H90" s="73"/>
      <c r="I90" s="73"/>
      <c r="J90" s="73"/>
      <c r="K90" s="73"/>
      <c r="L90" s="467"/>
      <c r="M90" s="73"/>
    </row>
    <row r="91" spans="1:17" x14ac:dyDescent="0.3">
      <c r="A91" s="446"/>
      <c r="B91" s="73"/>
      <c r="C91" s="73"/>
      <c r="D91" s="73"/>
      <c r="E91" s="73"/>
      <c r="F91" s="73"/>
      <c r="G91" s="73"/>
      <c r="H91" s="73"/>
      <c r="I91" s="73"/>
      <c r="J91" s="73"/>
      <c r="K91" s="73"/>
      <c r="L91" s="467"/>
      <c r="M91" s="73"/>
    </row>
    <row r="92" spans="1:17" x14ac:dyDescent="0.3">
      <c r="A92" s="446"/>
      <c r="B92" s="74"/>
      <c r="C92" s="74"/>
      <c r="D92" s="465"/>
      <c r="E92" s="74"/>
      <c r="F92" s="465"/>
      <c r="G92" s="463" t="s">
        <v>148</v>
      </c>
      <c r="H92" s="464" t="s">
        <v>342</v>
      </c>
      <c r="I92" s="463" t="s">
        <v>148</v>
      </c>
      <c r="J92" s="464" t="s">
        <v>342</v>
      </c>
      <c r="K92" s="463" t="s">
        <v>148</v>
      </c>
      <c r="L92" s="464" t="s">
        <v>342</v>
      </c>
      <c r="M92" s="465"/>
    </row>
    <row r="93" spans="1:17" x14ac:dyDescent="0.3">
      <c r="A93" s="446"/>
      <c r="B93" s="1238" t="s">
        <v>355</v>
      </c>
      <c r="C93" s="1238"/>
      <c r="D93" s="1238"/>
      <c r="E93" s="1238"/>
      <c r="F93" s="473"/>
      <c r="G93" s="468">
        <f t="shared" ref="G93:L93" si="3">G85</f>
        <v>0</v>
      </c>
      <c r="H93" s="468">
        <f t="shared" si="3"/>
        <v>0</v>
      </c>
      <c r="I93" s="468">
        <f t="shared" si="3"/>
        <v>0</v>
      </c>
      <c r="J93" s="468">
        <f t="shared" si="3"/>
        <v>0</v>
      </c>
      <c r="K93" s="468">
        <f t="shared" si="3"/>
        <v>0</v>
      </c>
      <c r="L93" s="468">
        <f t="shared" si="3"/>
        <v>0</v>
      </c>
      <c r="M93" s="469"/>
    </row>
    <row r="94" spans="1:17" x14ac:dyDescent="0.3">
      <c r="A94" s="446"/>
      <c r="B94" s="1238" t="s">
        <v>356</v>
      </c>
      <c r="C94" s="1238"/>
      <c r="D94" s="1238"/>
      <c r="E94" s="1238"/>
      <c r="F94" s="473"/>
      <c r="G94" s="468">
        <f>G88</f>
        <v>0</v>
      </c>
      <c r="H94" s="468">
        <f>G88</f>
        <v>0</v>
      </c>
      <c r="I94" s="468">
        <f>I88</f>
        <v>0</v>
      </c>
      <c r="J94" s="468">
        <f>I88</f>
        <v>0</v>
      </c>
      <c r="K94" s="468">
        <f>K88</f>
        <v>0</v>
      </c>
      <c r="L94" s="468">
        <f>K88</f>
        <v>0</v>
      </c>
      <c r="M94" s="469"/>
    </row>
    <row r="95" spans="1:17" x14ac:dyDescent="0.3">
      <c r="A95" s="446"/>
      <c r="B95" s="1238" t="s">
        <v>357</v>
      </c>
      <c r="C95" s="1238"/>
      <c r="D95" s="1238"/>
      <c r="E95" s="1238"/>
      <c r="F95" s="473"/>
      <c r="G95" s="468">
        <f t="shared" ref="G95:L95" si="4">G87</f>
        <v>0</v>
      </c>
      <c r="H95" s="468">
        <f t="shared" si="4"/>
        <v>0</v>
      </c>
      <c r="I95" s="468">
        <f t="shared" si="4"/>
        <v>0</v>
      </c>
      <c r="J95" s="468">
        <f t="shared" si="4"/>
        <v>0</v>
      </c>
      <c r="K95" s="468">
        <f t="shared" si="4"/>
        <v>0</v>
      </c>
      <c r="L95" s="468">
        <f t="shared" si="4"/>
        <v>0</v>
      </c>
      <c r="M95" s="469"/>
    </row>
    <row r="96" spans="1:17" x14ac:dyDescent="0.3">
      <c r="A96" s="446"/>
      <c r="B96" s="1238" t="s">
        <v>358</v>
      </c>
      <c r="C96" s="1238"/>
      <c r="D96" s="1238"/>
      <c r="E96" s="1238"/>
      <c r="F96" s="473"/>
      <c r="G96" s="468">
        <f>H76-H70</f>
        <v>0</v>
      </c>
      <c r="H96" s="468">
        <f>H76-H70</f>
        <v>0</v>
      </c>
      <c r="I96" s="468">
        <f>J76-J70</f>
        <v>0</v>
      </c>
      <c r="J96" s="468">
        <f>J76-J70</f>
        <v>0</v>
      </c>
      <c r="K96" s="468">
        <f>L76-L70</f>
        <v>0</v>
      </c>
      <c r="L96" s="468">
        <f>L76-L70</f>
        <v>0</v>
      </c>
      <c r="M96" s="469"/>
    </row>
    <row r="97" spans="1:13" ht="15.2" thickBot="1" x14ac:dyDescent="0.35">
      <c r="A97" s="446"/>
      <c r="B97" s="74"/>
      <c r="C97" s="74"/>
      <c r="D97" s="74"/>
      <c r="E97" s="460"/>
      <c r="F97" s="460"/>
      <c r="G97" s="474"/>
      <c r="H97" s="74"/>
      <c r="I97" s="474"/>
      <c r="J97" s="74"/>
      <c r="K97" s="474"/>
      <c r="L97" s="74"/>
      <c r="M97" s="73"/>
    </row>
    <row r="98" spans="1:13" x14ac:dyDescent="0.3">
      <c r="A98" s="446"/>
      <c r="B98" s="392"/>
      <c r="C98" s="461"/>
      <c r="D98" s="475" t="s">
        <v>148</v>
      </c>
      <c r="E98" s="393"/>
      <c r="F98" s="469"/>
      <c r="G98" s="74"/>
      <c r="H98" s="476">
        <f>IF(G96=0,0,G93+((G94*G95)/G96))</f>
        <v>0</v>
      </c>
      <c r="I98" s="74"/>
      <c r="J98" s="476">
        <f>IF(I96=0,0,I93+((I94*I95)/I96))</f>
        <v>0</v>
      </c>
      <c r="K98" s="74"/>
      <c r="L98" s="476">
        <f>IF(K96=0,0,K93+((K94*K95)/K96))</f>
        <v>0</v>
      </c>
      <c r="M98" s="73"/>
    </row>
    <row r="99" spans="1:13" x14ac:dyDescent="0.3">
      <c r="A99" s="446"/>
      <c r="B99" s="394" t="s">
        <v>359</v>
      </c>
      <c r="C99" s="461"/>
      <c r="D99" s="475" t="s">
        <v>339</v>
      </c>
      <c r="E99" s="393"/>
      <c r="F99" s="469"/>
      <c r="G99" s="74"/>
      <c r="H99" s="477">
        <f>((H102-H98)*0.25)+H98</f>
        <v>0</v>
      </c>
      <c r="I99" s="74"/>
      <c r="J99" s="477">
        <f>((J102-J98)*0.25)+J98</f>
        <v>0</v>
      </c>
      <c r="K99" s="74"/>
      <c r="L99" s="477">
        <f>((L102-L98)*0.25)+L98</f>
        <v>0</v>
      </c>
      <c r="M99" s="73"/>
    </row>
    <row r="100" spans="1:13" x14ac:dyDescent="0.3">
      <c r="A100" s="446"/>
      <c r="B100" s="394"/>
      <c r="C100" s="461"/>
      <c r="D100" s="475" t="s">
        <v>340</v>
      </c>
      <c r="E100" s="393"/>
      <c r="F100" s="469"/>
      <c r="G100" s="74"/>
      <c r="H100" s="477">
        <f>(H102+H98)/2</f>
        <v>0</v>
      </c>
      <c r="I100" s="74"/>
      <c r="J100" s="477">
        <f>(J102+J98)/2</f>
        <v>0</v>
      </c>
      <c r="K100" s="74"/>
      <c r="L100" s="477">
        <f>(L102+L98)/2</f>
        <v>0</v>
      </c>
      <c r="M100" s="73"/>
    </row>
    <row r="101" spans="1:13" x14ac:dyDescent="0.3">
      <c r="A101" s="446"/>
      <c r="B101" s="394" t="s">
        <v>360</v>
      </c>
      <c r="C101" s="461"/>
      <c r="D101" s="475" t="s">
        <v>341</v>
      </c>
      <c r="E101" s="393"/>
      <c r="F101" s="469"/>
      <c r="G101" s="74"/>
      <c r="H101" s="477">
        <f>((H102-H98)*0.75)+H98</f>
        <v>0</v>
      </c>
      <c r="I101" s="74"/>
      <c r="J101" s="477">
        <f>((J102-J98)*0.75)+J98</f>
        <v>0</v>
      </c>
      <c r="K101" s="74"/>
      <c r="L101" s="477">
        <f>((L102-L98)*0.75)+L98</f>
        <v>0</v>
      </c>
      <c r="M101" s="73"/>
    </row>
    <row r="102" spans="1:13" ht="15.2" thickBot="1" x14ac:dyDescent="0.35">
      <c r="A102" s="446"/>
      <c r="B102" s="395"/>
      <c r="C102" s="461"/>
      <c r="D102" s="475" t="s">
        <v>342</v>
      </c>
      <c r="E102" s="393"/>
      <c r="F102" s="469"/>
      <c r="G102" s="74"/>
      <c r="H102" s="478">
        <f>IF(H96=0,0,H93+((H94*H95)/H96))</f>
        <v>0</v>
      </c>
      <c r="I102" s="74"/>
      <c r="J102" s="478">
        <f>IF(J96=0,0,J93+((J94*J95)/J96))</f>
        <v>0</v>
      </c>
      <c r="K102" s="74"/>
      <c r="L102" s="478">
        <f>IF(L96=0,0,L93+((L94*L95)/L96))</f>
        <v>0</v>
      </c>
      <c r="M102" s="73"/>
    </row>
    <row r="103" spans="1:13" ht="15.2" thickBot="1" x14ac:dyDescent="0.35">
      <c r="A103" s="446"/>
      <c r="B103" s="73"/>
      <c r="C103" s="73"/>
      <c r="D103" s="73"/>
      <c r="E103" s="73"/>
      <c r="F103" s="73"/>
      <c r="G103" s="73"/>
      <c r="H103" s="73"/>
      <c r="I103" s="73"/>
      <c r="J103" s="73"/>
      <c r="K103" s="73"/>
      <c r="L103" s="467"/>
      <c r="M103" s="73"/>
    </row>
    <row r="104" spans="1:13" ht="15.2" thickBot="1" x14ac:dyDescent="0.35">
      <c r="A104" s="446"/>
      <c r="B104" s="74"/>
      <c r="C104" s="74"/>
      <c r="D104" s="74"/>
      <c r="E104" s="74"/>
      <c r="F104" s="74"/>
      <c r="G104" s="1264" t="s">
        <v>472</v>
      </c>
      <c r="H104" s="1265"/>
      <c r="I104" s="1264" t="s">
        <v>472</v>
      </c>
      <c r="J104" s="1265"/>
      <c r="K104" s="1264" t="s">
        <v>472</v>
      </c>
      <c r="L104" s="1265"/>
      <c r="M104" s="449"/>
    </row>
    <row r="105" spans="1:13" ht="15.2" thickBot="1" x14ac:dyDescent="0.35">
      <c r="A105" s="446"/>
      <c r="B105" s="1227" t="s">
        <v>473</v>
      </c>
      <c r="C105" s="1228"/>
      <c r="D105" s="1228"/>
      <c r="E105" s="1229"/>
      <c r="F105" s="74"/>
      <c r="G105" s="479">
        <f>G64</f>
        <v>1</v>
      </c>
      <c r="H105" s="480">
        <f>IF(G65="Basishonorarsatz",H98,IF(G65="Viertelsatz",H99,IF(G65="Mittelsatz",H100,IF(G65="Dreiviertelsatz",H101,H102))))</f>
        <v>0</v>
      </c>
      <c r="I105" s="481">
        <f>G64</f>
        <v>1</v>
      </c>
      <c r="J105" s="480">
        <f>IF(G65="Basishonorarsatz",J98,IF(G65="Viertelsatz",J99,IF(G65="Mittelsatz",J100,IF(G65="Dreiviertelsatz",J101,J102))))</f>
        <v>0</v>
      </c>
      <c r="K105" s="481">
        <f>G64</f>
        <v>1</v>
      </c>
      <c r="L105" s="480">
        <f>IF(G65="Basishonorarsatz",L98,IF(G65="Viertelsatz",L99,IF(G65="Mittelsatz",L100,IF(G65="Dreiviertelsatz",L101,L102))))</f>
        <v>0</v>
      </c>
      <c r="M105" s="482"/>
    </row>
    <row r="106" spans="1:13" ht="15.2" thickBot="1" x14ac:dyDescent="0.35">
      <c r="A106" s="483"/>
      <c r="B106" s="484"/>
      <c r="C106" s="484"/>
      <c r="D106" s="484"/>
      <c r="E106" s="484"/>
      <c r="F106" s="484"/>
      <c r="G106" s="484"/>
      <c r="H106" s="484"/>
      <c r="I106" s="485"/>
      <c r="J106" s="485"/>
      <c r="K106" s="485"/>
      <c r="L106" s="486"/>
      <c r="M106" s="73"/>
    </row>
    <row r="107" spans="1:13" ht="15.2" thickBot="1" x14ac:dyDescent="0.35">
      <c r="B107" s="487"/>
      <c r="C107" s="1267" t="s">
        <v>363</v>
      </c>
      <c r="D107" s="1268"/>
      <c r="E107" s="1268"/>
      <c r="F107" s="1269"/>
    </row>
    <row r="108" spans="1:13" ht="15.2" thickBot="1" x14ac:dyDescent="0.35">
      <c r="B108" s="488"/>
      <c r="C108" s="1270" t="s">
        <v>474</v>
      </c>
      <c r="D108" s="1271"/>
      <c r="E108" s="1186" t="s">
        <v>475</v>
      </c>
      <c r="F108" s="1187"/>
    </row>
    <row r="109" spans="1:13" x14ac:dyDescent="0.3">
      <c r="B109" s="489">
        <v>1</v>
      </c>
      <c r="C109" s="1272">
        <f>IF('Technische Ausrüstung'!$T39="ja",'Technische Ausrüstung'!J39,0)</f>
        <v>0</v>
      </c>
      <c r="D109" s="1273"/>
      <c r="E109" s="1282">
        <f>IF('Technische Ausrüstung'!T39="ja",'Technische Ausrüstung'!L54,0)</f>
        <v>0</v>
      </c>
      <c r="F109" s="1273"/>
      <c r="G109" s="490">
        <f>C109*1.1+E109</f>
        <v>0</v>
      </c>
    </row>
    <row r="110" spans="1:13" x14ac:dyDescent="0.3">
      <c r="B110" s="491">
        <v>2</v>
      </c>
      <c r="C110" s="1158">
        <f>IF('Technische Ausrüstung'!$T55="ja",'Technische Ausrüstung'!J55,0)</f>
        <v>0</v>
      </c>
      <c r="D110" s="1159"/>
      <c r="E110" s="1275">
        <f>IF('Technische Ausrüstung'!T55="ja",'Technische Ausrüstung'!L78,0)</f>
        <v>0</v>
      </c>
      <c r="F110" s="1159"/>
      <c r="G110" s="490">
        <f t="shared" ref="G110:G122" si="5">C110*1.1+E110</f>
        <v>0</v>
      </c>
    </row>
    <row r="111" spans="1:13" x14ac:dyDescent="0.3">
      <c r="B111" s="491">
        <v>3</v>
      </c>
      <c r="C111" s="1158">
        <f>IF('Technische Ausrüstung'!$T82="ja",'Technische Ausrüstung'!J82,0)</f>
        <v>0</v>
      </c>
      <c r="D111" s="1159"/>
      <c r="E111" s="1275">
        <f>IF('Technische Ausrüstung'!T82="ja",'Technische Ausrüstung'!L115,0)</f>
        <v>0</v>
      </c>
      <c r="F111" s="1159"/>
      <c r="G111" s="490">
        <f t="shared" si="5"/>
        <v>0</v>
      </c>
    </row>
    <row r="112" spans="1:13" x14ac:dyDescent="0.3">
      <c r="B112" s="491">
        <v>4</v>
      </c>
      <c r="C112" s="1158">
        <f>IF('Technische Ausrüstung'!$T119="ja",'Technische Ausrüstung'!J119,0)</f>
        <v>0</v>
      </c>
      <c r="D112" s="1159"/>
      <c r="E112" s="1275">
        <f>IF('Technische Ausrüstung'!T119="ja",'Technische Ausrüstung'!L127,0)</f>
        <v>0</v>
      </c>
      <c r="F112" s="1159"/>
      <c r="G112" s="490">
        <f t="shared" si="5"/>
        <v>0</v>
      </c>
    </row>
    <row r="113" spans="2:7" x14ac:dyDescent="0.3">
      <c r="B113" s="491" t="s">
        <v>371</v>
      </c>
      <c r="C113" s="1158">
        <f>IF('Technische Ausrüstung'!$T128="ja",'Technische Ausrüstung'!J128,0)</f>
        <v>0</v>
      </c>
      <c r="D113" s="1159"/>
      <c r="E113" s="1275">
        <f>IF('Technische Ausrüstung'!T128="ja",'Technische Ausrüstung'!R128+'Technische Ausrüstung'!R131,0)</f>
        <v>0</v>
      </c>
      <c r="F113" s="1159"/>
      <c r="G113" s="490">
        <f t="shared" si="5"/>
        <v>0</v>
      </c>
    </row>
    <row r="114" spans="2:7" x14ac:dyDescent="0.3">
      <c r="B114" s="491" t="s">
        <v>372</v>
      </c>
      <c r="C114" s="1158">
        <f>IF('Technische Ausrüstung'!$T133="ja",'Technische Ausrüstung'!J133,0)</f>
        <v>0</v>
      </c>
      <c r="D114" s="1159"/>
      <c r="E114" s="1275">
        <f>IF('Technische Ausrüstung'!T133="ja",'Technische Ausrüstung'!R133+'Technische Ausrüstung'!R136+'Technische Ausrüstung'!R139+'Technische Ausrüstung'!R142,0)</f>
        <v>0</v>
      </c>
      <c r="F114" s="1159"/>
      <c r="G114" s="490">
        <f t="shared" si="5"/>
        <v>0</v>
      </c>
    </row>
    <row r="115" spans="2:7" x14ac:dyDescent="0.3">
      <c r="B115" s="491" t="s">
        <v>373</v>
      </c>
      <c r="C115" s="1158">
        <f>IF('Technische Ausrüstung'!$T143="ja",'Technische Ausrüstung'!J143,0)</f>
        <v>0</v>
      </c>
      <c r="D115" s="1159"/>
      <c r="E115" s="1275">
        <f>IF('Technische Ausrüstung'!T143="ja",'Technische Ausrüstung'!R143,0)</f>
        <v>0</v>
      </c>
      <c r="F115" s="1159"/>
      <c r="G115" s="490">
        <f t="shared" si="5"/>
        <v>0</v>
      </c>
    </row>
    <row r="116" spans="2:7" x14ac:dyDescent="0.3">
      <c r="B116" s="491" t="s">
        <v>374</v>
      </c>
      <c r="C116" s="1158">
        <f>IF('Technische Ausrüstung'!$T144="ja",'Technische Ausrüstung'!J144,0)</f>
        <v>0</v>
      </c>
      <c r="D116" s="1159"/>
      <c r="E116" s="1275">
        <f>IF('Technische Ausrüstung'!T144="ja",'Technische Ausrüstung'!R144,0)</f>
        <v>0</v>
      </c>
      <c r="F116" s="1159"/>
      <c r="G116" s="490">
        <f t="shared" si="5"/>
        <v>0</v>
      </c>
    </row>
    <row r="117" spans="2:7" x14ac:dyDescent="0.3">
      <c r="B117" s="491" t="s">
        <v>375</v>
      </c>
      <c r="C117" s="1158">
        <f>IF('Technische Ausrüstung'!$T145="ja",'Technische Ausrüstung'!J145,0)</f>
        <v>0</v>
      </c>
      <c r="D117" s="1159"/>
      <c r="E117" s="1275">
        <f>IF('Technische Ausrüstung'!T145="ja",'Technische Ausrüstung'!R145+'Technische Ausrüstung'!R148,0)</f>
        <v>0</v>
      </c>
      <c r="F117" s="1159"/>
      <c r="G117" s="490">
        <f t="shared" si="5"/>
        <v>0</v>
      </c>
    </row>
    <row r="118" spans="2:7" x14ac:dyDescent="0.3">
      <c r="B118" s="491" t="s">
        <v>376</v>
      </c>
      <c r="C118" s="1158">
        <f>IF('Technische Ausrüstung'!$T150="ja",'Technische Ausrüstung'!J150,0)</f>
        <v>0</v>
      </c>
      <c r="D118" s="1159"/>
      <c r="E118" s="1275">
        <f>IF('Technische Ausrüstung'!T150="ja",'Technische Ausrüstung'!R150,0)</f>
        <v>0</v>
      </c>
      <c r="F118" s="1159"/>
      <c r="G118" s="490">
        <f t="shared" si="5"/>
        <v>0</v>
      </c>
    </row>
    <row r="119" spans="2:7" x14ac:dyDescent="0.3">
      <c r="B119" s="492">
        <v>6</v>
      </c>
      <c r="C119" s="1158">
        <f>IF('Technische Ausrüstung'!$T154="ja",'Technische Ausrüstung'!J154,0)</f>
        <v>0</v>
      </c>
      <c r="D119" s="1159"/>
      <c r="E119" s="1275">
        <f>IF('Technische Ausrüstung'!T154="ja",'Technische Ausrüstung'!L178,0)</f>
        <v>0</v>
      </c>
      <c r="F119" s="1159"/>
      <c r="G119" s="490">
        <f t="shared" si="5"/>
        <v>0</v>
      </c>
    </row>
    <row r="120" spans="2:7" x14ac:dyDescent="0.3">
      <c r="B120" s="492">
        <v>7</v>
      </c>
      <c r="C120" s="1158">
        <f>IF('Technische Ausrüstung'!$T179="ja",'Technische Ausrüstung'!J179,0)</f>
        <v>0</v>
      </c>
      <c r="D120" s="1159"/>
      <c r="E120" s="1275">
        <f>IF('Technische Ausrüstung'!T179="ja",'Technische Ausrüstung'!L193,0)</f>
        <v>0</v>
      </c>
      <c r="F120" s="1159"/>
      <c r="G120" s="490">
        <f t="shared" si="5"/>
        <v>0</v>
      </c>
    </row>
    <row r="121" spans="2:7" x14ac:dyDescent="0.3">
      <c r="B121" s="492">
        <v>8</v>
      </c>
      <c r="C121" s="1158">
        <f>IF('Technische Ausrüstung'!$T194="ja",'Technische Ausrüstung'!J194,0)</f>
        <v>0</v>
      </c>
      <c r="D121" s="1159"/>
      <c r="E121" s="1275">
        <f>IF('Technische Ausrüstung'!T194="ja",'Technische Ausrüstung'!L235,0)</f>
        <v>0</v>
      </c>
      <c r="F121" s="1159"/>
      <c r="G121" s="490">
        <f t="shared" si="5"/>
        <v>0</v>
      </c>
    </row>
    <row r="122" spans="2:7" ht="15.2" thickBot="1" x14ac:dyDescent="0.35">
      <c r="B122" s="493">
        <v>9</v>
      </c>
      <c r="C122" s="1278">
        <f>IF('Technische Ausrüstung'!$T236="ja",'Technische Ausrüstung'!J236,0)</f>
        <v>0</v>
      </c>
      <c r="D122" s="1279"/>
      <c r="E122" s="1280">
        <f>IF('Technische Ausrüstung'!T236="ja",'Technische Ausrüstung'!L245,0)</f>
        <v>0</v>
      </c>
      <c r="F122" s="1279"/>
      <c r="G122" s="490">
        <f t="shared" si="5"/>
        <v>0</v>
      </c>
    </row>
    <row r="123" spans="2:7" ht="15.2" thickBot="1" x14ac:dyDescent="0.35">
      <c r="B123" s="494" t="s">
        <v>476</v>
      </c>
      <c r="C123" s="1216">
        <f>SUM(C109:D122)</f>
        <v>0</v>
      </c>
      <c r="D123" s="1217"/>
      <c r="E123" s="1220">
        <f>SUM(E109:F122)</f>
        <v>0</v>
      </c>
      <c r="F123" s="1221"/>
    </row>
    <row r="124" spans="2:7" ht="15.2" thickBot="1" x14ac:dyDescent="0.35"/>
    <row r="125" spans="2:7" ht="15.2" thickBot="1" x14ac:dyDescent="0.35">
      <c r="B125" s="495" t="s">
        <v>380</v>
      </c>
      <c r="C125" s="1250">
        <f>C123*'Technische Ausrüstung'!F23+C123</f>
        <v>0</v>
      </c>
      <c r="D125" s="1251"/>
      <c r="E125" s="1250">
        <f>'Technische Ausrüstung'!R245</f>
        <v>0</v>
      </c>
      <c r="F125" s="1251"/>
    </row>
    <row r="128" spans="2:7" x14ac:dyDescent="0.3">
      <c r="B128" s="384" t="s">
        <v>479</v>
      </c>
      <c r="D128" s="496">
        <f>Überblick!G97</f>
        <v>0.19</v>
      </c>
    </row>
    <row r="130" spans="2:17" ht="15.2" thickBot="1" x14ac:dyDescent="0.35">
      <c r="B130" s="495" t="s">
        <v>478</v>
      </c>
      <c r="C130" s="1250">
        <f>C125*D128+C125</f>
        <v>0</v>
      </c>
      <c r="D130" s="1251"/>
      <c r="E130" s="1250">
        <f>E125*D128+E125</f>
        <v>0</v>
      </c>
      <c r="F130" s="1251"/>
    </row>
    <row r="132" spans="2:17" x14ac:dyDescent="0.3">
      <c r="B132" s="384" t="s">
        <v>480</v>
      </c>
      <c r="E132" s="1248">
        <f>C130+E130</f>
        <v>0</v>
      </c>
      <c r="F132" s="1249"/>
    </row>
    <row r="133" spans="2:17" ht="15.2" thickBot="1" x14ac:dyDescent="0.35"/>
    <row r="134" spans="2:17" ht="15.2" thickBot="1" x14ac:dyDescent="0.35">
      <c r="B134" s="544" t="s">
        <v>115</v>
      </c>
      <c r="C134" s="567" t="s">
        <v>306</v>
      </c>
      <c r="D134" s="568" t="s">
        <v>307</v>
      </c>
      <c r="E134" s="568" t="s">
        <v>308</v>
      </c>
      <c r="F134" s="568" t="s">
        <v>309</v>
      </c>
      <c r="G134" s="568" t="s">
        <v>310</v>
      </c>
      <c r="H134" s="568" t="s">
        <v>311</v>
      </c>
      <c r="I134" s="568" t="s">
        <v>312</v>
      </c>
      <c r="J134" s="568" t="s">
        <v>313</v>
      </c>
      <c r="K134" s="568" t="s">
        <v>314</v>
      </c>
      <c r="L134" s="568" t="s">
        <v>315</v>
      </c>
      <c r="M134" s="568" t="s">
        <v>316</v>
      </c>
      <c r="N134" s="568" t="s">
        <v>317</v>
      </c>
      <c r="O134" s="568" t="s">
        <v>318</v>
      </c>
      <c r="P134" s="568" t="s">
        <v>379</v>
      </c>
      <c r="Q134" s="569" t="s">
        <v>380</v>
      </c>
    </row>
    <row r="135" spans="2:17" x14ac:dyDescent="0.3">
      <c r="B135" s="579">
        <f>IF(Überblick!$H$53&gt;=1,1,"")</f>
        <v>1</v>
      </c>
      <c r="C135" s="503">
        <f>IF($B135='Technische Ausrüstung'!$U$39,'Technische Ausrüstung'!$J$39*'Technische Ausrüstung'!$F$23+'Technische Ausrüstung'!$J$39+'Technische Ausrüstung'!$L$54,0)</f>
        <v>0</v>
      </c>
      <c r="D135" s="503">
        <f>IF($B135='Technische Ausrüstung'!$U$55,'Technische Ausrüstung'!$J$55*'Technische Ausrüstung'!$F$23+'Technische Ausrüstung'!$J$55+'Technische Ausrüstung'!$L$78,0)</f>
        <v>0</v>
      </c>
      <c r="E135" s="503">
        <f>IF($B135='Technische Ausrüstung'!$U$82,'Technische Ausrüstung'!$J$82*'Technische Ausrüstung'!$F$23+'Technische Ausrüstung'!$J$82+'Technische Ausrüstung'!$L$115,0)</f>
        <v>0</v>
      </c>
      <c r="F135" s="503">
        <f>IF($B135='Technische Ausrüstung'!$U$119,'Technische Ausrüstung'!$J$119*'Technische Ausrüstung'!$F$23+'Technische Ausrüstung'!$J$119+'Technische Ausrüstung'!$L$127,0)</f>
        <v>0</v>
      </c>
      <c r="G135" s="503">
        <f>IF($B135='Technische Ausrüstung'!$U$128,'Technische Ausrüstung'!$J$128*'Technische Ausrüstung'!$F$23+'Technische Ausrüstung'!$J$128+'Technische Ausrüstung'!$R$128+'Technische Ausrüstung'!$R$131,0)</f>
        <v>0</v>
      </c>
      <c r="H135" s="503">
        <f>IF($B135='Technische Ausrüstung'!$U$133,'Technische Ausrüstung'!$J$133*'Technische Ausrüstung'!$F$23+'Technische Ausrüstung'!$J$133+'Technische Ausrüstung'!$R$133+'Technische Ausrüstung'!$R$136+'Technische Ausrüstung'!$R$139+'Technische Ausrüstung'!$R$142,0)</f>
        <v>0</v>
      </c>
      <c r="I135" s="503">
        <f>IF($B135='Technische Ausrüstung'!$U$143,'Technische Ausrüstung'!$J$143*'Technische Ausrüstung'!$F$23+'Technische Ausrüstung'!$J$143+'Technische Ausrüstung'!$R$143,0)</f>
        <v>0</v>
      </c>
      <c r="J135" s="503">
        <f>IF($B135='Technische Ausrüstung'!$U$144,'Technische Ausrüstung'!$J$144*'Technische Ausrüstung'!$F$23+'Technische Ausrüstung'!$J$144+'Technische Ausrüstung'!$R$144,0)</f>
        <v>0</v>
      </c>
      <c r="K135" s="503">
        <f>IF($B135='Technische Ausrüstung'!$U$145,'Technische Ausrüstung'!$J$145*'Technische Ausrüstung'!$F$23+'Technische Ausrüstung'!$J$145+'Technische Ausrüstung'!$R$145+'Technische Ausrüstung'!$R$148,0)</f>
        <v>0</v>
      </c>
      <c r="L135" s="503">
        <f>IF($B135='Technische Ausrüstung'!$U$150,'Technische Ausrüstung'!$J$150*'Technische Ausrüstung'!$F$23+'Technische Ausrüstung'!$J$150+'Technische Ausrüstung'!$R$150,0)</f>
        <v>0</v>
      </c>
      <c r="M135" s="503">
        <f>IF($B135='Technische Ausrüstung'!$U$154,'Technische Ausrüstung'!$J$154*'Technische Ausrüstung'!$F$23+'Technische Ausrüstung'!$J$154+'Technische Ausrüstung'!$L$178,0)</f>
        <v>0</v>
      </c>
      <c r="N135" s="503">
        <f>IF($B135='Technische Ausrüstung'!$U$179,'Technische Ausrüstung'!$J$179*'Technische Ausrüstung'!$F$23+'Technische Ausrüstung'!$J$179+'Technische Ausrüstung'!$L$193,0)</f>
        <v>0</v>
      </c>
      <c r="O135" s="503">
        <f>IF($B135='Technische Ausrüstung'!$U$194,'Technische Ausrüstung'!$J$194*'Technische Ausrüstung'!$F$23+'Technische Ausrüstung'!$J$194+'Technische Ausrüstung'!$L$235,0)</f>
        <v>0</v>
      </c>
      <c r="P135" s="503">
        <f>IF($B135='Technische Ausrüstung'!$U$236,'Technische Ausrüstung'!$J$236*'Technische Ausrüstung'!$F$23+'Technische Ausrüstung'!$J$236+'Technische Ausrüstung'!$L$245,0)</f>
        <v>0</v>
      </c>
      <c r="Q135" s="504">
        <f>SUM(C135:P135)</f>
        <v>0</v>
      </c>
    </row>
    <row r="136" spans="2:17" x14ac:dyDescent="0.3">
      <c r="B136" s="577">
        <f>IF(Überblick!$H$53&gt;=2,2,"")</f>
        <v>2</v>
      </c>
      <c r="C136" s="507">
        <f>IF($B136='Technische Ausrüstung'!$U$39,'Technische Ausrüstung'!$J$39*'Technische Ausrüstung'!$F$23+'Technische Ausrüstung'!$J$39+'Technische Ausrüstung'!$L$54,0)</f>
        <v>0</v>
      </c>
      <c r="D136" s="507">
        <f>IF($B136='Technische Ausrüstung'!$U$55,'Technische Ausrüstung'!$J$55*'Technische Ausrüstung'!$F$23+'Technische Ausrüstung'!$J$55+'Technische Ausrüstung'!$L$78,0)</f>
        <v>0</v>
      </c>
      <c r="E136" s="507">
        <f>IF($B136='Technische Ausrüstung'!$U$82,'Technische Ausrüstung'!$J$82*'Technische Ausrüstung'!$F$23+'Technische Ausrüstung'!$J$82+'Technische Ausrüstung'!$L$115,0)</f>
        <v>0</v>
      </c>
      <c r="F136" s="507">
        <f>IF($B136='Technische Ausrüstung'!$U$119,'Technische Ausrüstung'!$J$119*'Technische Ausrüstung'!$F$23+'Technische Ausrüstung'!$J$119+'Technische Ausrüstung'!$L$127,0)</f>
        <v>0</v>
      </c>
      <c r="G136" s="507">
        <f>IF($B136='Technische Ausrüstung'!$U$128,'Technische Ausrüstung'!$J$128*'Technische Ausrüstung'!$F$23+'Technische Ausrüstung'!$J$128+'Technische Ausrüstung'!$R$128+'Technische Ausrüstung'!$R$131,0)</f>
        <v>0</v>
      </c>
      <c r="H136" s="507">
        <f>IF($B136='Technische Ausrüstung'!$U$133,'Technische Ausrüstung'!$J$133*'Technische Ausrüstung'!$F$23+'Technische Ausrüstung'!$J$133+'Technische Ausrüstung'!$R$133+'Technische Ausrüstung'!$R$136+'Technische Ausrüstung'!$R$139+'Technische Ausrüstung'!$R$142,0)</f>
        <v>0</v>
      </c>
      <c r="I136" s="507">
        <f>IF($B136='Technische Ausrüstung'!$U$143,'Technische Ausrüstung'!$J$143*'Technische Ausrüstung'!$F$23+'Technische Ausrüstung'!$J$143+'Technische Ausrüstung'!$R$143,0)</f>
        <v>0</v>
      </c>
      <c r="J136" s="507">
        <f>IF($B136='Technische Ausrüstung'!$U$144,'Technische Ausrüstung'!$J$144*'Technische Ausrüstung'!$F$23+'Technische Ausrüstung'!$J$144+'Technische Ausrüstung'!$R$144,0)</f>
        <v>0</v>
      </c>
      <c r="K136" s="507">
        <f>IF($B136='Technische Ausrüstung'!$U$145,'Technische Ausrüstung'!$J$145*'Technische Ausrüstung'!$F$23+'Technische Ausrüstung'!$J$145+'Technische Ausrüstung'!$R$145+'Technische Ausrüstung'!$R$148,0)</f>
        <v>0</v>
      </c>
      <c r="L136" s="507">
        <f>IF($B136='Technische Ausrüstung'!$U$150,'Technische Ausrüstung'!$J$150*'Technische Ausrüstung'!$F$23+'Technische Ausrüstung'!$J$150+'Technische Ausrüstung'!$R$150,0)</f>
        <v>0</v>
      </c>
      <c r="M136" s="507">
        <f>IF($B136='Technische Ausrüstung'!$U$154,'Technische Ausrüstung'!$J$154*'Technische Ausrüstung'!$F$23+'Technische Ausrüstung'!$J$154+'Technische Ausrüstung'!$L$178,0)</f>
        <v>0</v>
      </c>
      <c r="N136" s="507">
        <f>IF($B136='Technische Ausrüstung'!$U$179,'Technische Ausrüstung'!$J$179*'Technische Ausrüstung'!$F$23+'Technische Ausrüstung'!$J$179+'Technische Ausrüstung'!$L$193,0)</f>
        <v>0</v>
      </c>
      <c r="O136" s="507">
        <f>IF($B136='Technische Ausrüstung'!$U$194,'Technische Ausrüstung'!$J$194*'Technische Ausrüstung'!$F$23+'Technische Ausrüstung'!$J$194+'Technische Ausrüstung'!$L$235,0)</f>
        <v>0</v>
      </c>
      <c r="P136" s="507">
        <f>IF($B136='Technische Ausrüstung'!$U$236,'Technische Ausrüstung'!$J$236*'Technische Ausrüstung'!$F$23+'Technische Ausrüstung'!$J$236+'Technische Ausrüstung'!$L$245,0)</f>
        <v>0</v>
      </c>
      <c r="Q136" s="508">
        <f t="shared" ref="Q136:Q143" si="6">SUM(C136:P136)</f>
        <v>0</v>
      </c>
    </row>
    <row r="137" spans="2:17" x14ac:dyDescent="0.3">
      <c r="B137" s="577">
        <f>IF(Überblick!$H$53&gt;=3,3,"")</f>
        <v>3</v>
      </c>
      <c r="C137" s="507">
        <f>IF($B137='Technische Ausrüstung'!$U$39,'Technische Ausrüstung'!$J$39*'Technische Ausrüstung'!$F$23+'Technische Ausrüstung'!$J$39+'Technische Ausrüstung'!$L$54,0)</f>
        <v>0</v>
      </c>
      <c r="D137" s="507">
        <f>IF($B137='Technische Ausrüstung'!$U$55,'Technische Ausrüstung'!$J$55*'Technische Ausrüstung'!$F$23+'Technische Ausrüstung'!$J$55+'Technische Ausrüstung'!$L$78,0)</f>
        <v>0</v>
      </c>
      <c r="E137" s="507">
        <f>IF($B137='Technische Ausrüstung'!$U$82,'Technische Ausrüstung'!$J$82*'Technische Ausrüstung'!$F$23+'Technische Ausrüstung'!$J$82+'Technische Ausrüstung'!$L$115,0)</f>
        <v>0</v>
      </c>
      <c r="F137" s="507">
        <f>IF($B137='Technische Ausrüstung'!$U$119,'Technische Ausrüstung'!$J$119*'Technische Ausrüstung'!$F$23+'Technische Ausrüstung'!$J$119+'Technische Ausrüstung'!$L$127,0)</f>
        <v>0</v>
      </c>
      <c r="G137" s="507">
        <f>IF($B137='Technische Ausrüstung'!$U$128,'Technische Ausrüstung'!$J$128*'Technische Ausrüstung'!$F$23+'Technische Ausrüstung'!$J$128+'Technische Ausrüstung'!$R$128+'Technische Ausrüstung'!$R$131,0)</f>
        <v>0</v>
      </c>
      <c r="H137" s="507">
        <f>IF($B137='Technische Ausrüstung'!$U$133,'Technische Ausrüstung'!$J$133*'Technische Ausrüstung'!$F$23+'Technische Ausrüstung'!$J$133+'Technische Ausrüstung'!$R$133+'Technische Ausrüstung'!$R$136+'Technische Ausrüstung'!$R$139+'Technische Ausrüstung'!$R$142,0)</f>
        <v>0</v>
      </c>
      <c r="I137" s="507">
        <f>IF($B137='Technische Ausrüstung'!$U$143,'Technische Ausrüstung'!$J$143*'Technische Ausrüstung'!$F$23+'Technische Ausrüstung'!$J$143+'Technische Ausrüstung'!$R$143,0)</f>
        <v>0</v>
      </c>
      <c r="J137" s="507">
        <f>IF($B137='Technische Ausrüstung'!$U$144,'Technische Ausrüstung'!$J$144*'Technische Ausrüstung'!$F$23+'Technische Ausrüstung'!$J$144+'Technische Ausrüstung'!$R$144,0)</f>
        <v>0</v>
      </c>
      <c r="K137" s="507">
        <f>IF($B137='Technische Ausrüstung'!$U$145,'Technische Ausrüstung'!$J$145*'Technische Ausrüstung'!$F$23+'Technische Ausrüstung'!$J$145+'Technische Ausrüstung'!$R$145+'Technische Ausrüstung'!$R$148,0)</f>
        <v>0</v>
      </c>
      <c r="L137" s="507">
        <f>IF($B137='Technische Ausrüstung'!$U$150,'Technische Ausrüstung'!$J$150*'Technische Ausrüstung'!$F$23+'Technische Ausrüstung'!$J$150+'Technische Ausrüstung'!$R$150,0)</f>
        <v>0</v>
      </c>
      <c r="M137" s="507">
        <f>IF($B137='Technische Ausrüstung'!$U$154,'Technische Ausrüstung'!$J$154*'Technische Ausrüstung'!$F$23+'Technische Ausrüstung'!$J$154+'Technische Ausrüstung'!$L$178,0)</f>
        <v>0</v>
      </c>
      <c r="N137" s="507">
        <f>IF($B137='Technische Ausrüstung'!$U$179,'Technische Ausrüstung'!$J$179*'Technische Ausrüstung'!$F$23+'Technische Ausrüstung'!$J$179+'Technische Ausrüstung'!$L$193,0)</f>
        <v>0</v>
      </c>
      <c r="O137" s="507">
        <f>IF($B137='Technische Ausrüstung'!$U$194,'Technische Ausrüstung'!$J$194*'Technische Ausrüstung'!$F$23+'Technische Ausrüstung'!$J$194+'Technische Ausrüstung'!$L$235,0)</f>
        <v>0</v>
      </c>
      <c r="P137" s="507">
        <f>IF($B137='Technische Ausrüstung'!$U$236,'Technische Ausrüstung'!$J$236*'Technische Ausrüstung'!$F$23+'Technische Ausrüstung'!$J$236+'Technische Ausrüstung'!$L$245,0)</f>
        <v>0</v>
      </c>
      <c r="Q137" s="508">
        <f t="shared" si="6"/>
        <v>0</v>
      </c>
    </row>
    <row r="138" spans="2:17" x14ac:dyDescent="0.3">
      <c r="B138" s="577" t="str">
        <f>IF(Überblick!$H$53&gt;=4,4,"")</f>
        <v/>
      </c>
      <c r="C138" s="507">
        <f>IF($B138='Technische Ausrüstung'!$U$39,'Technische Ausrüstung'!$J$39*'Technische Ausrüstung'!$F$23+'Technische Ausrüstung'!$J$39+'Technische Ausrüstung'!$L$54,0)</f>
        <v>0</v>
      </c>
      <c r="D138" s="507">
        <f>IF($B138='Technische Ausrüstung'!$U$55,'Technische Ausrüstung'!$J$55*'Technische Ausrüstung'!$F$23+'Technische Ausrüstung'!$J$55+'Technische Ausrüstung'!$L$78,0)</f>
        <v>0</v>
      </c>
      <c r="E138" s="507">
        <f>IF($B138='Technische Ausrüstung'!$U$82,'Technische Ausrüstung'!$J$82*'Technische Ausrüstung'!$F$23+'Technische Ausrüstung'!$J$82+'Technische Ausrüstung'!$L$115,0)</f>
        <v>0</v>
      </c>
      <c r="F138" s="507">
        <f>IF($B138='Technische Ausrüstung'!$U$119,'Technische Ausrüstung'!$J$119*'Technische Ausrüstung'!$F$23+'Technische Ausrüstung'!$J$119+'Technische Ausrüstung'!$L$127,0)</f>
        <v>0</v>
      </c>
      <c r="G138" s="507">
        <f>IF($B138='Technische Ausrüstung'!$U$128,'Technische Ausrüstung'!$J$128*'Technische Ausrüstung'!$F$23+'Technische Ausrüstung'!$J$128+'Technische Ausrüstung'!$R$128+'Technische Ausrüstung'!$R$131,0)</f>
        <v>0</v>
      </c>
      <c r="H138" s="507">
        <f>IF($B138='Technische Ausrüstung'!$U$133,'Technische Ausrüstung'!$J$133*'Technische Ausrüstung'!$F$23+'Technische Ausrüstung'!$J$133+'Technische Ausrüstung'!$R$133+'Technische Ausrüstung'!$R$136+'Technische Ausrüstung'!$R$139+'Technische Ausrüstung'!$R$142,0)</f>
        <v>0</v>
      </c>
      <c r="I138" s="507">
        <f>IF($B138='Technische Ausrüstung'!$U$143,'Technische Ausrüstung'!$J$143*'Technische Ausrüstung'!$F$23+'Technische Ausrüstung'!$J$143+'Technische Ausrüstung'!$R$143,0)</f>
        <v>0</v>
      </c>
      <c r="J138" s="507">
        <f>IF($B138='Technische Ausrüstung'!$U$144,'Technische Ausrüstung'!$J$144*'Technische Ausrüstung'!$F$23+'Technische Ausrüstung'!$J$144+'Technische Ausrüstung'!$R$144,0)</f>
        <v>0</v>
      </c>
      <c r="K138" s="507">
        <f>IF($B138='Technische Ausrüstung'!$U$145,'Technische Ausrüstung'!$J$145*'Technische Ausrüstung'!$F$23+'Technische Ausrüstung'!$J$145+'Technische Ausrüstung'!$R$145+'Technische Ausrüstung'!$R$148,0)</f>
        <v>0</v>
      </c>
      <c r="L138" s="507">
        <f>IF($B138='Technische Ausrüstung'!$U$150,'Technische Ausrüstung'!$J$150*'Technische Ausrüstung'!$F$23+'Technische Ausrüstung'!$J$150+'Technische Ausrüstung'!$R$150,0)</f>
        <v>0</v>
      </c>
      <c r="M138" s="507">
        <f>IF($B138='Technische Ausrüstung'!$U$154,'Technische Ausrüstung'!$J$154*'Technische Ausrüstung'!$F$23+'Technische Ausrüstung'!$J$154+'Technische Ausrüstung'!$L$178,0)</f>
        <v>0</v>
      </c>
      <c r="N138" s="507">
        <f>IF($B138='Technische Ausrüstung'!$U$179,'Technische Ausrüstung'!$J$179*'Technische Ausrüstung'!$F$23+'Technische Ausrüstung'!$J$179+'Technische Ausrüstung'!$L$193,0)</f>
        <v>0</v>
      </c>
      <c r="O138" s="507">
        <f>IF($B138='Technische Ausrüstung'!$U$194,'Technische Ausrüstung'!$J$194*'Technische Ausrüstung'!$F$23+'Technische Ausrüstung'!$J$194+'Technische Ausrüstung'!$L$235,0)</f>
        <v>0</v>
      </c>
      <c r="P138" s="507">
        <f>IF($B138='Technische Ausrüstung'!$U$236,'Technische Ausrüstung'!$J$236*'Technische Ausrüstung'!$F$23+'Technische Ausrüstung'!$J$236+'Technische Ausrüstung'!$L$245,0)</f>
        <v>0</v>
      </c>
      <c r="Q138" s="508">
        <f t="shared" si="6"/>
        <v>0</v>
      </c>
    </row>
    <row r="139" spans="2:17" x14ac:dyDescent="0.3">
      <c r="B139" s="577" t="str">
        <f>IF(Überblick!$H$53&gt;=5,5,"")</f>
        <v/>
      </c>
      <c r="C139" s="507">
        <f>IF($B139='Technische Ausrüstung'!$U$39,'Technische Ausrüstung'!$J$39*'Technische Ausrüstung'!$F$23+'Technische Ausrüstung'!$J$39+'Technische Ausrüstung'!$L$54,0)</f>
        <v>0</v>
      </c>
      <c r="D139" s="507">
        <f>IF($B139='Technische Ausrüstung'!$U$55,'Technische Ausrüstung'!$J$55*'Technische Ausrüstung'!$F$23+'Technische Ausrüstung'!$J$55+'Technische Ausrüstung'!$L$78,0)</f>
        <v>0</v>
      </c>
      <c r="E139" s="507">
        <f>IF($B139='Technische Ausrüstung'!$U$82,'Technische Ausrüstung'!$J$82*'Technische Ausrüstung'!$F$23+'Technische Ausrüstung'!$J$82+'Technische Ausrüstung'!$L$115,0)</f>
        <v>0</v>
      </c>
      <c r="F139" s="507">
        <f>IF($B139='Technische Ausrüstung'!$U$119,'Technische Ausrüstung'!$J$119*'Technische Ausrüstung'!$F$23+'Technische Ausrüstung'!$J$119+'Technische Ausrüstung'!$L$127,0)</f>
        <v>0</v>
      </c>
      <c r="G139" s="507">
        <f>IF($B139='Technische Ausrüstung'!$U$128,'Technische Ausrüstung'!$J$128*'Technische Ausrüstung'!$F$23+'Technische Ausrüstung'!$J$128+'Technische Ausrüstung'!$R$128+'Technische Ausrüstung'!$R$131,0)</f>
        <v>0</v>
      </c>
      <c r="H139" s="507">
        <f>IF($B139='Technische Ausrüstung'!$U$133,'Technische Ausrüstung'!$J$133*'Technische Ausrüstung'!$F$23+'Technische Ausrüstung'!$J$133+'Technische Ausrüstung'!$R$133+'Technische Ausrüstung'!$R$136+'Technische Ausrüstung'!$R$139+'Technische Ausrüstung'!$R$142,0)</f>
        <v>0</v>
      </c>
      <c r="I139" s="507">
        <f>IF($B139='Technische Ausrüstung'!$U$143,'Technische Ausrüstung'!$J$143*'Technische Ausrüstung'!$F$23+'Technische Ausrüstung'!$J$143+'Technische Ausrüstung'!$R$143,0)</f>
        <v>0</v>
      </c>
      <c r="J139" s="507">
        <f>IF($B139='Technische Ausrüstung'!$U$144,'Technische Ausrüstung'!$J$144*'Technische Ausrüstung'!$F$23+'Technische Ausrüstung'!$J$144+'Technische Ausrüstung'!$R$144,0)</f>
        <v>0</v>
      </c>
      <c r="K139" s="507">
        <f>IF($B139='Technische Ausrüstung'!$U$145,'Technische Ausrüstung'!$J$145*'Technische Ausrüstung'!$F$23+'Technische Ausrüstung'!$J$145+'Technische Ausrüstung'!$R$145+'Technische Ausrüstung'!$R$148,0)</f>
        <v>0</v>
      </c>
      <c r="L139" s="507">
        <f>IF($B139='Technische Ausrüstung'!$U$150,'Technische Ausrüstung'!$J$150*'Technische Ausrüstung'!$F$23+'Technische Ausrüstung'!$J$150+'Technische Ausrüstung'!$R$150,0)</f>
        <v>0</v>
      </c>
      <c r="M139" s="507">
        <f>IF($B139='Technische Ausrüstung'!$U$154,'Technische Ausrüstung'!$J$154*'Technische Ausrüstung'!$F$23+'Technische Ausrüstung'!$J$154+'Technische Ausrüstung'!$L$178,0)</f>
        <v>0</v>
      </c>
      <c r="N139" s="507">
        <f>IF($B139='Technische Ausrüstung'!$U$179,'Technische Ausrüstung'!$J$179*'Technische Ausrüstung'!$F$23+'Technische Ausrüstung'!$J$179+'Technische Ausrüstung'!$L$193,0)</f>
        <v>0</v>
      </c>
      <c r="O139" s="507">
        <f>IF($B139='Technische Ausrüstung'!$U$194,'Technische Ausrüstung'!$J$194*'Technische Ausrüstung'!$F$23+'Technische Ausrüstung'!$J$194+'Technische Ausrüstung'!$L$235,0)</f>
        <v>0</v>
      </c>
      <c r="P139" s="507">
        <f>IF($B139='Technische Ausrüstung'!$U$236,'Technische Ausrüstung'!$J$236*'Technische Ausrüstung'!$F$23+'Technische Ausrüstung'!$J$236+'Technische Ausrüstung'!$L$245,0)</f>
        <v>0</v>
      </c>
      <c r="Q139" s="508">
        <f t="shared" si="6"/>
        <v>0</v>
      </c>
    </row>
    <row r="140" spans="2:17" x14ac:dyDescent="0.3">
      <c r="B140" s="577" t="str">
        <f>IF(Überblick!$H$53&gt;=6,6,"")</f>
        <v/>
      </c>
      <c r="C140" s="507">
        <f>IF($B140='Technische Ausrüstung'!$U$39,'Technische Ausrüstung'!$J$39*'Technische Ausrüstung'!$F$23+'Technische Ausrüstung'!$J$39+'Technische Ausrüstung'!$L$54,0)</f>
        <v>0</v>
      </c>
      <c r="D140" s="507">
        <f>IF($B140='Technische Ausrüstung'!$U$55,'Technische Ausrüstung'!$J$55*'Technische Ausrüstung'!$F$23+'Technische Ausrüstung'!$J$55+'Technische Ausrüstung'!$L$78,0)</f>
        <v>0</v>
      </c>
      <c r="E140" s="507">
        <f>IF($B140='Technische Ausrüstung'!$U$82,'Technische Ausrüstung'!$J$82*'Technische Ausrüstung'!$F$23+'Technische Ausrüstung'!$J$82+'Technische Ausrüstung'!$L$115,0)</f>
        <v>0</v>
      </c>
      <c r="F140" s="507">
        <f>IF($B140='Technische Ausrüstung'!$U$119,'Technische Ausrüstung'!$J$119*'Technische Ausrüstung'!$F$23+'Technische Ausrüstung'!$J$119+'Technische Ausrüstung'!$L$127,0)</f>
        <v>0</v>
      </c>
      <c r="G140" s="507">
        <f>IF($B140='Technische Ausrüstung'!$U$128,'Technische Ausrüstung'!$J$128*'Technische Ausrüstung'!$F$23+'Technische Ausrüstung'!$J$128+'Technische Ausrüstung'!$R$128+'Technische Ausrüstung'!$R$131,0)</f>
        <v>0</v>
      </c>
      <c r="H140" s="507">
        <f>IF($B140='Technische Ausrüstung'!$U$133,'Technische Ausrüstung'!$J$133*'Technische Ausrüstung'!$F$23+'Technische Ausrüstung'!$J$133+'Technische Ausrüstung'!$R$133+'Technische Ausrüstung'!$R$136+'Technische Ausrüstung'!$R$139+'Technische Ausrüstung'!$R$142,0)</f>
        <v>0</v>
      </c>
      <c r="I140" s="507">
        <f>IF($B140='Technische Ausrüstung'!$U$143,'Technische Ausrüstung'!$J$143*'Technische Ausrüstung'!$F$23+'Technische Ausrüstung'!$J$143+'Technische Ausrüstung'!$R$143,0)</f>
        <v>0</v>
      </c>
      <c r="J140" s="507">
        <f>IF($B140='Technische Ausrüstung'!$U$144,'Technische Ausrüstung'!$J$144*'Technische Ausrüstung'!$F$23+'Technische Ausrüstung'!$J$144+'Technische Ausrüstung'!$R$144,0)</f>
        <v>0</v>
      </c>
      <c r="K140" s="507">
        <f>IF($B140='Technische Ausrüstung'!$U$145,'Technische Ausrüstung'!$J$145*'Technische Ausrüstung'!$F$23+'Technische Ausrüstung'!$J$145+'Technische Ausrüstung'!$R$145+'Technische Ausrüstung'!$R$148,0)</f>
        <v>0</v>
      </c>
      <c r="L140" s="507">
        <f>IF($B140='Technische Ausrüstung'!$U$150,'Technische Ausrüstung'!$J$150*'Technische Ausrüstung'!$F$23+'Technische Ausrüstung'!$J$150+'Technische Ausrüstung'!$R$150,0)</f>
        <v>0</v>
      </c>
      <c r="M140" s="507">
        <f>IF($B140='Technische Ausrüstung'!$U$154,'Technische Ausrüstung'!$J$154*'Technische Ausrüstung'!$F$23+'Technische Ausrüstung'!$J$154+'Technische Ausrüstung'!$L$178,0)</f>
        <v>0</v>
      </c>
      <c r="N140" s="507">
        <f>IF($B140='Technische Ausrüstung'!$U$179,'Technische Ausrüstung'!$J$179*'Technische Ausrüstung'!$F$23+'Technische Ausrüstung'!$J$179+'Technische Ausrüstung'!$L$193,0)</f>
        <v>0</v>
      </c>
      <c r="O140" s="507">
        <f>IF($B140='Technische Ausrüstung'!$U$194,'Technische Ausrüstung'!$J$194*'Technische Ausrüstung'!$F$23+'Technische Ausrüstung'!$J$194+'Technische Ausrüstung'!$L$235,0)</f>
        <v>0</v>
      </c>
      <c r="P140" s="507">
        <f>IF($B140='Technische Ausrüstung'!$U$236,'Technische Ausrüstung'!$J$236*'Technische Ausrüstung'!$F$23+'Technische Ausrüstung'!$J$236+'Technische Ausrüstung'!$L$245,0)</f>
        <v>0</v>
      </c>
      <c r="Q140" s="508">
        <f t="shared" si="6"/>
        <v>0</v>
      </c>
    </row>
    <row r="141" spans="2:17" x14ac:dyDescent="0.3">
      <c r="B141" s="577" t="str">
        <f>IF(Überblick!$H$53&gt;=7,7,"")</f>
        <v/>
      </c>
      <c r="C141" s="507">
        <f>IF($B141='Technische Ausrüstung'!$U$39,'Technische Ausrüstung'!$J$39*'Technische Ausrüstung'!$F$23+'Technische Ausrüstung'!$J$39+'Technische Ausrüstung'!$L$54,0)</f>
        <v>0</v>
      </c>
      <c r="D141" s="507">
        <f>IF($B141='Technische Ausrüstung'!$U$55,'Technische Ausrüstung'!$J$55*'Technische Ausrüstung'!$F$23+'Technische Ausrüstung'!$J$55+'Technische Ausrüstung'!$L$78,0)</f>
        <v>0</v>
      </c>
      <c r="E141" s="507">
        <f>IF($B141='Technische Ausrüstung'!$U$82,'Technische Ausrüstung'!$J$82*'Technische Ausrüstung'!$F$23+'Technische Ausrüstung'!$J$82+'Technische Ausrüstung'!$L$115,0)</f>
        <v>0</v>
      </c>
      <c r="F141" s="507">
        <f>IF($B141='Technische Ausrüstung'!$U$119,'Technische Ausrüstung'!$J$119*'Technische Ausrüstung'!$F$23+'Technische Ausrüstung'!$J$119+'Technische Ausrüstung'!$L$127,0)</f>
        <v>0</v>
      </c>
      <c r="G141" s="507">
        <f>IF($B141='Technische Ausrüstung'!$U$128,'Technische Ausrüstung'!$J$128*'Technische Ausrüstung'!$F$23+'Technische Ausrüstung'!$J$128+'Technische Ausrüstung'!$R$128+'Technische Ausrüstung'!$R$131,0)</f>
        <v>0</v>
      </c>
      <c r="H141" s="507">
        <f>IF($B141='Technische Ausrüstung'!$U$133,'Technische Ausrüstung'!$J$133*'Technische Ausrüstung'!$F$23+'Technische Ausrüstung'!$J$133+'Technische Ausrüstung'!$R$133+'Technische Ausrüstung'!$R$136+'Technische Ausrüstung'!$R$139+'Technische Ausrüstung'!$R$142,0)</f>
        <v>0</v>
      </c>
      <c r="I141" s="507">
        <f>IF($B141='Technische Ausrüstung'!$U$143,'Technische Ausrüstung'!$J$143*'Technische Ausrüstung'!$F$23+'Technische Ausrüstung'!$J$143+'Technische Ausrüstung'!$R$143,0)</f>
        <v>0</v>
      </c>
      <c r="J141" s="507">
        <f>IF($B141='Technische Ausrüstung'!$U$144,'Technische Ausrüstung'!$J$144*'Technische Ausrüstung'!$F$23+'Technische Ausrüstung'!$J$144+'Technische Ausrüstung'!$R$144,0)</f>
        <v>0</v>
      </c>
      <c r="K141" s="507">
        <f>IF($B141='Technische Ausrüstung'!$U$145,'Technische Ausrüstung'!$J$145*'Technische Ausrüstung'!$F$23+'Technische Ausrüstung'!$J$145+'Technische Ausrüstung'!$R$145+'Technische Ausrüstung'!$R$148,0)</f>
        <v>0</v>
      </c>
      <c r="L141" s="507">
        <f>IF($B141='Technische Ausrüstung'!$U$150,'Technische Ausrüstung'!$J$150*'Technische Ausrüstung'!$F$23+'Technische Ausrüstung'!$J$150+'Technische Ausrüstung'!$R$150,0)</f>
        <v>0</v>
      </c>
      <c r="M141" s="507">
        <f>IF($B141='Technische Ausrüstung'!$U$154,'Technische Ausrüstung'!$J$154*'Technische Ausrüstung'!$F$23+'Technische Ausrüstung'!$J$154+'Technische Ausrüstung'!$L$178,0)</f>
        <v>0</v>
      </c>
      <c r="N141" s="507">
        <f>IF($B141='Technische Ausrüstung'!$U$179,'Technische Ausrüstung'!$J$179*'Technische Ausrüstung'!$F$23+'Technische Ausrüstung'!$J$179+'Technische Ausrüstung'!$L$193,0)</f>
        <v>0</v>
      </c>
      <c r="O141" s="507">
        <f>IF($B141='Technische Ausrüstung'!$U$194,'Technische Ausrüstung'!$J$194*'Technische Ausrüstung'!$F$23+'Technische Ausrüstung'!$J$194+'Technische Ausrüstung'!$L$235,0)</f>
        <v>0</v>
      </c>
      <c r="P141" s="507">
        <f>IF($B141='Technische Ausrüstung'!$U$236,'Technische Ausrüstung'!$J$236*'Technische Ausrüstung'!$F$23+'Technische Ausrüstung'!$J$236+'Technische Ausrüstung'!$L$245,0)</f>
        <v>0</v>
      </c>
      <c r="Q141" s="508">
        <f t="shared" si="6"/>
        <v>0</v>
      </c>
    </row>
    <row r="142" spans="2:17" x14ac:dyDescent="0.3">
      <c r="B142" s="577" t="str">
        <f>IF(Überblick!$H$53&gt;=8,8,"")</f>
        <v/>
      </c>
      <c r="C142" s="507">
        <f>IF($B142='Technische Ausrüstung'!$U$39,'Technische Ausrüstung'!$J$39*'Technische Ausrüstung'!$F$23+'Technische Ausrüstung'!$J$39+'Technische Ausrüstung'!$L$54,0)</f>
        <v>0</v>
      </c>
      <c r="D142" s="507">
        <f>IF($B142='Technische Ausrüstung'!$U$55,'Technische Ausrüstung'!$J$55*'Technische Ausrüstung'!$F$23+'Technische Ausrüstung'!$J$55+'Technische Ausrüstung'!$L$78,0)</f>
        <v>0</v>
      </c>
      <c r="E142" s="507">
        <f>IF($B142='Technische Ausrüstung'!$U$82,'Technische Ausrüstung'!$J$82*'Technische Ausrüstung'!$F$23+'Technische Ausrüstung'!$J$82+'Technische Ausrüstung'!$L$115,0)</f>
        <v>0</v>
      </c>
      <c r="F142" s="507">
        <f>IF($B142='Technische Ausrüstung'!$U$119,'Technische Ausrüstung'!$J$119*'Technische Ausrüstung'!$F$23+'Technische Ausrüstung'!$J$119+'Technische Ausrüstung'!$L$127,0)</f>
        <v>0</v>
      </c>
      <c r="G142" s="507">
        <f>IF($B142='Technische Ausrüstung'!$U$128,'Technische Ausrüstung'!$J$128*'Technische Ausrüstung'!$F$23+'Technische Ausrüstung'!$J$128+'Technische Ausrüstung'!$R$128+'Technische Ausrüstung'!$R$131,0)</f>
        <v>0</v>
      </c>
      <c r="H142" s="507">
        <f>IF($B142='Technische Ausrüstung'!$U$133,'Technische Ausrüstung'!$J$133*'Technische Ausrüstung'!$F$23+'Technische Ausrüstung'!$J$133+'Technische Ausrüstung'!$R$133+'Technische Ausrüstung'!$R$136+'Technische Ausrüstung'!$R$139+'Technische Ausrüstung'!$R$142,0)</f>
        <v>0</v>
      </c>
      <c r="I142" s="507">
        <f>IF($B142='Technische Ausrüstung'!$U$143,'Technische Ausrüstung'!$J$143*'Technische Ausrüstung'!$F$23+'Technische Ausrüstung'!$J$143+'Technische Ausrüstung'!$R$143,0)</f>
        <v>0</v>
      </c>
      <c r="J142" s="507">
        <f>IF($B142='Technische Ausrüstung'!$U$144,'Technische Ausrüstung'!$J$144*'Technische Ausrüstung'!$F$23+'Technische Ausrüstung'!$J$144+'Technische Ausrüstung'!$R$144,0)</f>
        <v>0</v>
      </c>
      <c r="K142" s="507">
        <f>IF($B142='Technische Ausrüstung'!$U$145,'Technische Ausrüstung'!$J$145*'Technische Ausrüstung'!$F$23+'Technische Ausrüstung'!$J$145+'Technische Ausrüstung'!$R$145+'Technische Ausrüstung'!$R$148,0)</f>
        <v>0</v>
      </c>
      <c r="L142" s="507">
        <f>IF($B142='Technische Ausrüstung'!$U$150,'Technische Ausrüstung'!$J$150*'Technische Ausrüstung'!$F$23+'Technische Ausrüstung'!$J$150+'Technische Ausrüstung'!$R$150,0)</f>
        <v>0</v>
      </c>
      <c r="M142" s="507">
        <f>IF($B142='Technische Ausrüstung'!$U$154,'Technische Ausrüstung'!$J$154*'Technische Ausrüstung'!$F$23+'Technische Ausrüstung'!$J$154+'Technische Ausrüstung'!$L$178,0)</f>
        <v>0</v>
      </c>
      <c r="N142" s="507">
        <f>IF($B142='Technische Ausrüstung'!$U$179,'Technische Ausrüstung'!$J$179*'Technische Ausrüstung'!$F$23+'Technische Ausrüstung'!$J$179+'Technische Ausrüstung'!$L$193,0)</f>
        <v>0</v>
      </c>
      <c r="O142" s="507">
        <f>IF($B142='Technische Ausrüstung'!$U$194,'Technische Ausrüstung'!$J$194*'Technische Ausrüstung'!$F$23+'Technische Ausrüstung'!$J$194+'Technische Ausrüstung'!$L$235,0)</f>
        <v>0</v>
      </c>
      <c r="P142" s="507">
        <f>IF($B142='Technische Ausrüstung'!$U$236,'Technische Ausrüstung'!$J$236*'Technische Ausrüstung'!$F$23+'Technische Ausrüstung'!$J$236+'Technische Ausrüstung'!$L$245,0)</f>
        <v>0</v>
      </c>
      <c r="Q142" s="508">
        <f t="shared" si="6"/>
        <v>0</v>
      </c>
    </row>
    <row r="143" spans="2:17" ht="15.2" thickBot="1" x14ac:dyDescent="0.35">
      <c r="B143" s="573" t="str">
        <f>IF(Überblick!$H$53&gt;=9,9,"")</f>
        <v/>
      </c>
      <c r="C143" s="511">
        <f>IF($B143='Technische Ausrüstung'!$U$39,'Technische Ausrüstung'!$J$39*'Technische Ausrüstung'!$F$23+'Technische Ausrüstung'!$J$39+'Technische Ausrüstung'!$L$54,0)</f>
        <v>0</v>
      </c>
      <c r="D143" s="511">
        <f>IF($B143='Technische Ausrüstung'!$U$55,'Technische Ausrüstung'!$J$55*'Technische Ausrüstung'!$F$23+'Technische Ausrüstung'!$J$55+'Technische Ausrüstung'!$L$78,0)</f>
        <v>0</v>
      </c>
      <c r="E143" s="511">
        <f>IF($B143='Technische Ausrüstung'!$U$82,'Technische Ausrüstung'!$J$82*'Technische Ausrüstung'!$F$23+'Technische Ausrüstung'!$J$82+'Technische Ausrüstung'!$L$115,0)</f>
        <v>0</v>
      </c>
      <c r="F143" s="511">
        <f>IF($B143='Technische Ausrüstung'!$U$119,'Technische Ausrüstung'!$J$119*'Technische Ausrüstung'!$F$23+'Technische Ausrüstung'!$J$119+'Technische Ausrüstung'!$L$127,0)</f>
        <v>0</v>
      </c>
      <c r="G143" s="511">
        <f>IF($B143='Technische Ausrüstung'!$U$128,'Technische Ausrüstung'!$J$128*'Technische Ausrüstung'!$F$23+'Technische Ausrüstung'!$J$128+'Technische Ausrüstung'!$R$128+'Technische Ausrüstung'!$R$131,0)</f>
        <v>0</v>
      </c>
      <c r="H143" s="511">
        <f>IF($B143='Technische Ausrüstung'!$U$133,'Technische Ausrüstung'!$J$133*'Technische Ausrüstung'!$F$23+'Technische Ausrüstung'!$J$133+'Technische Ausrüstung'!$R$133+'Technische Ausrüstung'!$R$136+'Technische Ausrüstung'!$R$139+'Technische Ausrüstung'!$R$142,0)</f>
        <v>0</v>
      </c>
      <c r="I143" s="511">
        <f>IF($B143='Technische Ausrüstung'!$U$143,'Technische Ausrüstung'!$J$143*'Technische Ausrüstung'!$F$23+'Technische Ausrüstung'!$J$143+'Technische Ausrüstung'!$R$143,0)</f>
        <v>0</v>
      </c>
      <c r="J143" s="511">
        <f>IF($B143='Technische Ausrüstung'!$U$144,'Technische Ausrüstung'!$J$144*'Technische Ausrüstung'!$F$23+'Technische Ausrüstung'!$J$144+'Technische Ausrüstung'!$R$144,0)</f>
        <v>0</v>
      </c>
      <c r="K143" s="511">
        <f>IF($B143='Technische Ausrüstung'!$U$145,'Technische Ausrüstung'!$J$145*'Technische Ausrüstung'!$F$23+'Technische Ausrüstung'!$J$145+'Technische Ausrüstung'!$R$145+'Technische Ausrüstung'!$R$148,0)</f>
        <v>0</v>
      </c>
      <c r="L143" s="511">
        <f>IF($B143='Technische Ausrüstung'!$U$150,'Technische Ausrüstung'!$J$150*'Technische Ausrüstung'!$F$23+'Technische Ausrüstung'!$J$150+'Technische Ausrüstung'!$R$150,0)</f>
        <v>0</v>
      </c>
      <c r="M143" s="511">
        <f>IF($B143='Technische Ausrüstung'!$U$154,'Technische Ausrüstung'!$J$154*'Technische Ausrüstung'!$F$23+'Technische Ausrüstung'!$J$154+'Technische Ausrüstung'!$L$178,0)</f>
        <v>0</v>
      </c>
      <c r="N143" s="511">
        <f>IF($B143='Technische Ausrüstung'!$U$179,'Technische Ausrüstung'!$J$179*'Technische Ausrüstung'!$F$23+'Technische Ausrüstung'!$J$179+'Technische Ausrüstung'!$L$193,0)</f>
        <v>0</v>
      </c>
      <c r="O143" s="511">
        <f>IF($B143='Technische Ausrüstung'!$U$194,'Technische Ausrüstung'!$J$194*'Technische Ausrüstung'!$F$23+'Technische Ausrüstung'!$J$194+'Technische Ausrüstung'!$L$235,0)</f>
        <v>0</v>
      </c>
      <c r="P143" s="511">
        <f>IF($B143='Technische Ausrüstung'!$U$236,'Technische Ausrüstung'!$J$236*'Technische Ausrüstung'!$F$23+'Technische Ausrüstung'!$J$236+'Technische Ausrüstung'!$L$245,0)</f>
        <v>0</v>
      </c>
      <c r="Q143" s="512">
        <f t="shared" si="6"/>
        <v>0</v>
      </c>
    </row>
    <row r="144" spans="2:17" x14ac:dyDescent="0.3">
      <c r="Q144" s="513">
        <f>SUM(Q135:Q143)</f>
        <v>0</v>
      </c>
    </row>
    <row r="156" spans="2:4" x14ac:dyDescent="0.3">
      <c r="B156" s="514"/>
      <c r="C156" s="515"/>
      <c r="D156" s="516"/>
    </row>
  </sheetData>
  <mergeCells count="84">
    <mergeCell ref="C125:D125"/>
    <mergeCell ref="E125:F125"/>
    <mergeCell ref="C130:D130"/>
    <mergeCell ref="E130:F130"/>
    <mergeCell ref="E132:F132"/>
    <mergeCell ref="C121:D121"/>
    <mergeCell ref="E121:F121"/>
    <mergeCell ref="C122:D122"/>
    <mergeCell ref="E122:F122"/>
    <mergeCell ref="C123:D123"/>
    <mergeCell ref="E123:F123"/>
    <mergeCell ref="C118:D118"/>
    <mergeCell ref="E118:F118"/>
    <mergeCell ref="C119:D119"/>
    <mergeCell ref="E119:F119"/>
    <mergeCell ref="C120:D120"/>
    <mergeCell ref="E120:F120"/>
    <mergeCell ref="C115:D115"/>
    <mergeCell ref="E115:F115"/>
    <mergeCell ref="C116:D116"/>
    <mergeCell ref="E116:F116"/>
    <mergeCell ref="C117:D117"/>
    <mergeCell ref="E117:F117"/>
    <mergeCell ref="C112:D112"/>
    <mergeCell ref="E112:F112"/>
    <mergeCell ref="C113:D113"/>
    <mergeCell ref="E113:F113"/>
    <mergeCell ref="C114:D114"/>
    <mergeCell ref="E114:F114"/>
    <mergeCell ref="C109:D109"/>
    <mergeCell ref="E109:F109"/>
    <mergeCell ref="C110:D110"/>
    <mergeCell ref="E110:F110"/>
    <mergeCell ref="C111:D111"/>
    <mergeCell ref="E111:F111"/>
    <mergeCell ref="G104:H104"/>
    <mergeCell ref="I104:J104"/>
    <mergeCell ref="K104:L104"/>
    <mergeCell ref="B105:E105"/>
    <mergeCell ref="C107:F107"/>
    <mergeCell ref="C108:D108"/>
    <mergeCell ref="E108:F108"/>
    <mergeCell ref="B87:E87"/>
    <mergeCell ref="B88:E88"/>
    <mergeCell ref="B93:E93"/>
    <mergeCell ref="B94:E94"/>
    <mergeCell ref="B95:E95"/>
    <mergeCell ref="B96:E96"/>
    <mergeCell ref="B86:E86"/>
    <mergeCell ref="B65:E65"/>
    <mergeCell ref="G65:H65"/>
    <mergeCell ref="J65:K65"/>
    <mergeCell ref="G69:H69"/>
    <mergeCell ref="I69:J69"/>
    <mergeCell ref="K69:L69"/>
    <mergeCell ref="D70:D74"/>
    <mergeCell ref="E70:E71"/>
    <mergeCell ref="D76:D80"/>
    <mergeCell ref="E76:E77"/>
    <mergeCell ref="B85:E85"/>
    <mergeCell ref="B64:E64"/>
    <mergeCell ref="G64:H64"/>
    <mergeCell ref="J64:K64"/>
    <mergeCell ref="B26:B44"/>
    <mergeCell ref="E26:E44"/>
    <mergeCell ref="H26:H44"/>
    <mergeCell ref="G50:H50"/>
    <mergeCell ref="J50:K50"/>
    <mergeCell ref="G52:G54"/>
    <mergeCell ref="G56:G60"/>
    <mergeCell ref="B62:E62"/>
    <mergeCell ref="G62:H62"/>
    <mergeCell ref="I62:J62"/>
    <mergeCell ref="K62:L62"/>
    <mergeCell ref="A2:A5"/>
    <mergeCell ref="C2:D2"/>
    <mergeCell ref="F2:G2"/>
    <mergeCell ref="I2:J2"/>
    <mergeCell ref="C3:D3"/>
    <mergeCell ref="F3:G3"/>
    <mergeCell ref="I3:J3"/>
    <mergeCell ref="C5:D5"/>
    <mergeCell ref="F5:G5"/>
    <mergeCell ref="I5:J5"/>
  </mergeCells>
  <conditionalFormatting sqref="A6:A44">
    <cfRule type="colorScale" priority="7">
      <colorScale>
        <cfvo type="min"/>
        <cfvo type="percentile" val="50"/>
        <cfvo type="max"/>
        <color rgb="FF63BE7B"/>
        <color rgb="FFFFEB84"/>
        <color rgb="FFF8696B"/>
      </colorScale>
    </cfRule>
  </conditionalFormatting>
  <conditionalFormatting sqref="C6:C44">
    <cfRule type="colorScale" priority="6">
      <colorScale>
        <cfvo type="min"/>
        <cfvo type="percentile" val="50"/>
        <cfvo type="max"/>
        <color rgb="FF63BE7B"/>
        <color rgb="FFFFEB84"/>
        <color rgb="FFF8696B"/>
      </colorScale>
    </cfRule>
  </conditionalFormatting>
  <conditionalFormatting sqref="D6:D44">
    <cfRule type="colorScale" priority="5">
      <colorScale>
        <cfvo type="min"/>
        <cfvo type="percentile" val="50"/>
        <cfvo type="max"/>
        <color rgb="FF63BE7B"/>
        <color rgb="FFFFEB84"/>
        <color rgb="FFF8696B"/>
      </colorScale>
    </cfRule>
  </conditionalFormatting>
  <conditionalFormatting sqref="F6:F44">
    <cfRule type="colorScale" priority="4">
      <colorScale>
        <cfvo type="min"/>
        <cfvo type="percentile" val="50"/>
        <cfvo type="max"/>
        <color rgb="FF63BE7B"/>
        <color rgb="FFFFEB84"/>
        <color rgb="FFF8696B"/>
      </colorScale>
    </cfRule>
  </conditionalFormatting>
  <conditionalFormatting sqref="G6:G44">
    <cfRule type="colorScale" priority="3">
      <colorScale>
        <cfvo type="min"/>
        <cfvo type="percentile" val="50"/>
        <cfvo type="max"/>
        <color rgb="FF63BE7B"/>
        <color rgb="FFFFEB84"/>
        <color rgb="FFF8696B"/>
      </colorScale>
    </cfRule>
  </conditionalFormatting>
  <conditionalFormatting sqref="I6:I44">
    <cfRule type="colorScale" priority="2">
      <colorScale>
        <cfvo type="min"/>
        <cfvo type="percentile" val="50"/>
        <cfvo type="max"/>
        <color rgb="FF63BE7B"/>
        <color rgb="FFFFEB84"/>
        <color rgb="FFF8696B"/>
      </colorScale>
    </cfRule>
  </conditionalFormatting>
  <conditionalFormatting sqref="J6:J44">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6F44A-4E68-4B5B-B6EC-6AFF6577B1DA}">
  <sheetPr>
    <tabColor rgb="FF00B0F0"/>
  </sheetPr>
  <dimension ref="A1:AS392"/>
  <sheetViews>
    <sheetView workbookViewId="0">
      <selection activeCell="P81" sqref="P81"/>
    </sheetView>
  </sheetViews>
  <sheetFormatPr baseColWidth="10" defaultColWidth="11.44140625" defaultRowHeight="13.9" outlineLevelRow="1" x14ac:dyDescent="0.25"/>
  <cols>
    <col min="1" max="1" width="7.109375" style="357" customWidth="1"/>
    <col min="2" max="9" width="9.33203125" style="8" customWidth="1"/>
    <col min="10" max="12" width="16.5546875" style="8" customWidth="1"/>
    <col min="13" max="14" width="9.33203125" style="8" customWidth="1"/>
    <col min="15" max="15" width="15.33203125" style="35" bestFit="1" customWidth="1"/>
    <col min="16" max="16" width="9.33203125" style="35" customWidth="1"/>
    <col min="17" max="17" width="16.5546875" style="35" bestFit="1" customWidth="1"/>
    <col min="18" max="26" width="9.33203125" style="35" customWidth="1"/>
    <col min="27" max="27" width="11" style="35" customWidth="1"/>
    <col min="28" max="29" width="8.33203125" style="35" bestFit="1" customWidth="1"/>
    <col min="30" max="16384" width="11.44140625" style="8"/>
  </cols>
  <sheetData>
    <row r="1" spans="1:35" x14ac:dyDescent="0.25">
      <c r="A1" s="359"/>
      <c r="B1" s="116" t="str">
        <f>IF(Überblick!B2=Überblick!L4,'weitere Besondere Leistungen'!V1,'weitere Besondere Leistungen'!V2)</f>
        <v>Honorarangebot zu weiteren Besonderen Leistungen</v>
      </c>
      <c r="H1" s="83"/>
      <c r="I1" s="83"/>
      <c r="J1" s="83"/>
      <c r="K1" s="83"/>
      <c r="L1" s="38"/>
      <c r="M1" s="689" t="str">
        <f>Hochbauplanung!T1</f>
        <v>Version: 24.07.2023</v>
      </c>
      <c r="N1" s="689"/>
      <c r="O1" s="38" t="s">
        <v>106</v>
      </c>
      <c r="P1" s="38">
        <v>100</v>
      </c>
      <c r="Q1" s="38">
        <v>2000</v>
      </c>
      <c r="R1" s="38"/>
      <c r="S1" s="38"/>
      <c r="T1" s="38" t="s">
        <v>498</v>
      </c>
      <c r="U1" s="38"/>
      <c r="V1" s="38" t="s">
        <v>499</v>
      </c>
      <c r="W1" s="38"/>
      <c r="AD1" s="38"/>
      <c r="AE1" s="38"/>
    </row>
    <row r="2" spans="1:35" x14ac:dyDescent="0.25">
      <c r="H2" s="83"/>
      <c r="I2" s="83"/>
      <c r="J2" s="83"/>
      <c r="K2" s="381" t="s">
        <v>120</v>
      </c>
      <c r="L2" s="759" t="str">
        <f>IF(Überblick!Q2=0,"",Überblick!Q2)</f>
        <v/>
      </c>
      <c r="M2" s="759"/>
      <c r="N2" s="759"/>
      <c r="O2" s="38" t="s">
        <v>107</v>
      </c>
      <c r="P2" s="38"/>
      <c r="Q2" s="38"/>
      <c r="R2" s="38"/>
      <c r="S2" s="38"/>
      <c r="T2" s="38" t="s">
        <v>500</v>
      </c>
      <c r="U2" s="38"/>
      <c r="V2" s="38" t="s">
        <v>501</v>
      </c>
      <c r="W2" s="38"/>
    </row>
    <row r="3" spans="1:35" x14ac:dyDescent="0.25">
      <c r="A3" s="357" t="s">
        <v>16</v>
      </c>
      <c r="B3" s="9" t="s">
        <v>502</v>
      </c>
      <c r="H3" s="83"/>
      <c r="I3" s="83"/>
      <c r="J3" s="83"/>
      <c r="K3" s="381" t="s">
        <v>27</v>
      </c>
      <c r="L3" s="759" t="str">
        <f>IF(Überblick!G29=0,"",Überblick!G29)</f>
        <v>Breite Straße, 10178 Berlin-Mitte (Los 2)</v>
      </c>
      <c r="M3" s="759"/>
      <c r="N3" s="759"/>
      <c r="O3" s="38"/>
      <c r="P3" s="38"/>
      <c r="Q3" s="38"/>
      <c r="R3" s="38"/>
      <c r="S3" s="38"/>
      <c r="T3" s="38"/>
      <c r="U3" s="38"/>
      <c r="V3" s="38"/>
      <c r="W3" s="38"/>
    </row>
    <row r="4" spans="1:35" ht="15.95" customHeight="1" x14ac:dyDescent="0.25">
      <c r="B4" s="8" t="str">
        <f>IF(B1=V2,"","Die besonderen Leistungen sind in den orange markierten Feldern zu bepreisen. ")</f>
        <v xml:space="preserve">Die besonderen Leistungen sind in den orange markierten Feldern zu bepreisen. </v>
      </c>
      <c r="K4" s="381" t="s">
        <v>20</v>
      </c>
      <c r="L4" s="759" t="str">
        <f>IF(Überblick!D19=0,"",Überblick!D19)</f>
        <v/>
      </c>
      <c r="M4" s="759"/>
      <c r="N4" s="759"/>
      <c r="O4" s="38"/>
      <c r="P4" s="38"/>
      <c r="Q4" s="38"/>
      <c r="R4" s="38"/>
      <c r="S4" s="38"/>
      <c r="T4" s="38"/>
      <c r="U4" s="38"/>
      <c r="V4" s="38"/>
      <c r="W4" s="38"/>
    </row>
    <row r="5" spans="1:35" ht="15.95" hidden="1" customHeight="1" outlineLevel="1" x14ac:dyDescent="0.25">
      <c r="A5" s="364"/>
      <c r="B5" s="1581" t="s">
        <v>503</v>
      </c>
      <c r="C5" s="1572"/>
      <c r="D5" s="1572"/>
      <c r="E5" s="1572"/>
      <c r="F5" s="1572"/>
      <c r="G5" s="1572"/>
      <c r="H5" s="1572"/>
      <c r="I5" s="1569" t="s">
        <v>164</v>
      </c>
      <c r="J5" s="1572" t="s">
        <v>504</v>
      </c>
      <c r="K5" s="1572" t="s">
        <v>505</v>
      </c>
      <c r="L5" s="1584" t="s">
        <v>498</v>
      </c>
      <c r="M5" s="1572" t="s">
        <v>169</v>
      </c>
      <c r="N5" s="1566" t="s">
        <v>170</v>
      </c>
      <c r="O5" s="112"/>
      <c r="P5" s="347"/>
      <c r="Q5" s="347"/>
      <c r="R5" s="347"/>
      <c r="S5" s="253"/>
      <c r="T5" s="253"/>
      <c r="U5" s="253"/>
      <c r="V5" s="39"/>
      <c r="W5" s="39"/>
      <c r="X5" s="78"/>
      <c r="AD5" s="35"/>
      <c r="AE5" s="35"/>
      <c r="AF5" s="35"/>
      <c r="AG5" s="35"/>
    </row>
    <row r="6" spans="1:35" ht="15.95" hidden="1" customHeight="1" outlineLevel="1" x14ac:dyDescent="0.25">
      <c r="A6" s="364"/>
      <c r="B6" s="1582"/>
      <c r="C6" s="1573"/>
      <c r="D6" s="1573"/>
      <c r="E6" s="1573"/>
      <c r="F6" s="1573"/>
      <c r="G6" s="1573"/>
      <c r="H6" s="1573"/>
      <c r="I6" s="1570"/>
      <c r="J6" s="1573"/>
      <c r="K6" s="1573"/>
      <c r="L6" s="1585"/>
      <c r="M6" s="1573"/>
      <c r="N6" s="1567"/>
      <c r="O6" s="112"/>
      <c r="P6" s="347"/>
      <c r="Q6" s="1139" t="s">
        <v>172</v>
      </c>
      <c r="R6" s="347"/>
      <c r="S6" s="253"/>
      <c r="T6" s="253"/>
      <c r="U6" s="253"/>
      <c r="V6" s="39"/>
      <c r="W6" s="39"/>
      <c r="X6" s="79"/>
      <c r="AD6" s="35"/>
      <c r="AE6" s="35"/>
      <c r="AF6" s="35"/>
      <c r="AG6" s="35"/>
    </row>
    <row r="7" spans="1:35" ht="15" hidden="1" customHeight="1" outlineLevel="1" thickBot="1" x14ac:dyDescent="0.3">
      <c r="A7" s="364"/>
      <c r="B7" s="1583"/>
      <c r="C7" s="1574"/>
      <c r="D7" s="1574"/>
      <c r="E7" s="1574"/>
      <c r="F7" s="1574"/>
      <c r="G7" s="1574"/>
      <c r="H7" s="1574"/>
      <c r="I7" s="1571"/>
      <c r="J7" s="1574"/>
      <c r="K7" s="1574"/>
      <c r="L7" s="1586"/>
      <c r="M7" s="1574"/>
      <c r="N7" s="1568"/>
      <c r="O7" s="112"/>
      <c r="P7" s="347"/>
      <c r="Q7" s="1139"/>
      <c r="R7" s="347"/>
      <c r="S7" s="253"/>
      <c r="T7" s="253"/>
      <c r="U7" s="253"/>
      <c r="V7" s="39"/>
      <c r="W7" s="39"/>
      <c r="X7" s="79"/>
      <c r="AD7" s="35"/>
      <c r="AE7" s="35"/>
      <c r="AF7" s="35"/>
      <c r="AG7" s="35"/>
      <c r="AH7" s="35"/>
      <c r="AI7" s="35"/>
    </row>
    <row r="8" spans="1:35" ht="15" hidden="1" customHeight="1" outlineLevel="1" x14ac:dyDescent="0.25">
      <c r="A8" s="364"/>
      <c r="B8" s="1548" t="s">
        <v>506</v>
      </c>
      <c r="C8" s="1549"/>
      <c r="D8" s="1549"/>
      <c r="E8" s="1549"/>
      <c r="F8" s="1549"/>
      <c r="G8" s="1549"/>
      <c r="H8" s="1549"/>
      <c r="I8" s="1537" t="s">
        <v>107</v>
      </c>
      <c r="J8" s="1588"/>
      <c r="K8" s="1577"/>
      <c r="L8" s="1579">
        <f>J8*K8</f>
        <v>0</v>
      </c>
      <c r="M8" s="1555" t="str">
        <f>IFERROR(IF((VLOOKUP(N8,Überblick!$M$124:$N$132,2))="ja","ja","nein"),"")</f>
        <v/>
      </c>
      <c r="N8" s="1575"/>
      <c r="O8" s="38">
        <f t="shared" ref="O8:O46" si="0">IF(AND(I8="ja",J8=""),1,0)</f>
        <v>0</v>
      </c>
      <c r="P8" s="44">
        <f>IF(I8="ja",1,0)</f>
        <v>0</v>
      </c>
      <c r="Q8" s="38">
        <f>IF(AND(N8&lt;1,I8="ja"),1,0)</f>
        <v>0</v>
      </c>
      <c r="R8" s="38"/>
      <c r="S8" s="38"/>
      <c r="T8" s="297"/>
      <c r="U8" s="297"/>
      <c r="V8" s="297"/>
      <c r="W8" s="297"/>
      <c r="X8" s="379"/>
      <c r="Y8" s="379"/>
      <c r="Z8" s="379"/>
    </row>
    <row r="9" spans="1:35" ht="15.95" hidden="1" customHeight="1" outlineLevel="1" x14ac:dyDescent="0.25">
      <c r="A9" s="364"/>
      <c r="B9" s="1535"/>
      <c r="C9" s="1536"/>
      <c r="D9" s="1536"/>
      <c r="E9" s="1536"/>
      <c r="F9" s="1536"/>
      <c r="G9" s="1536"/>
      <c r="H9" s="1536"/>
      <c r="I9" s="1538"/>
      <c r="J9" s="1587"/>
      <c r="K9" s="1578"/>
      <c r="L9" s="1580"/>
      <c r="M9" s="1556"/>
      <c r="N9" s="1576"/>
      <c r="O9" s="38"/>
      <c r="P9" s="44"/>
      <c r="Q9" s="38"/>
      <c r="R9" s="38"/>
      <c r="S9" s="38"/>
      <c r="T9" s="297"/>
      <c r="U9" s="297"/>
      <c r="V9" s="297"/>
      <c r="W9" s="297"/>
      <c r="X9" s="379"/>
      <c r="Y9" s="379"/>
      <c r="Z9" s="379"/>
    </row>
    <row r="10" spans="1:35" ht="14.25" hidden="1" customHeight="1" outlineLevel="1" x14ac:dyDescent="0.25">
      <c r="A10" s="364"/>
      <c r="B10" s="1590" t="s">
        <v>507</v>
      </c>
      <c r="C10" s="1591"/>
      <c r="D10" s="1591"/>
      <c r="E10" s="1591"/>
      <c r="F10" s="1591"/>
      <c r="G10" s="1591"/>
      <c r="H10" s="1591"/>
      <c r="I10" s="1537" t="s">
        <v>107</v>
      </c>
      <c r="J10" s="1550"/>
      <c r="K10" s="1563"/>
      <c r="L10" s="1554">
        <f t="shared" ref="L10" si="1">J10*K10</f>
        <v>0</v>
      </c>
      <c r="M10" s="1555" t="str">
        <f>IFERROR(IF((VLOOKUP(N10,Überblick!$M$124:$N$132,2))="ja","ja","nein"),"")</f>
        <v/>
      </c>
      <c r="N10" s="1557"/>
      <c r="O10" s="38">
        <f t="shared" si="0"/>
        <v>0</v>
      </c>
      <c r="P10" s="44">
        <f t="shared" ref="P10:P68" si="2">IF(I10="ja",1,0)</f>
        <v>0</v>
      </c>
      <c r="Q10" s="38">
        <f>IF(AND(N10&lt;1,I10="ja"),1,0)</f>
        <v>0</v>
      </c>
      <c r="R10" s="38"/>
      <c r="S10" s="38"/>
      <c r="T10" s="297"/>
      <c r="U10" s="297"/>
      <c r="V10" s="297"/>
      <c r="W10" s="297"/>
      <c r="X10" s="379"/>
      <c r="Y10" s="379"/>
      <c r="Z10" s="379"/>
      <c r="AA10" s="622"/>
    </row>
    <row r="11" spans="1:35" ht="15" hidden="1" customHeight="1" outlineLevel="1" x14ac:dyDescent="0.25">
      <c r="A11" s="364"/>
      <c r="B11" s="1590"/>
      <c r="C11" s="1591"/>
      <c r="D11" s="1591"/>
      <c r="E11" s="1591"/>
      <c r="F11" s="1591"/>
      <c r="G11" s="1591"/>
      <c r="H11" s="1591"/>
      <c r="I11" s="1538"/>
      <c r="J11" s="1587"/>
      <c r="K11" s="1578"/>
      <c r="L11" s="1554"/>
      <c r="M11" s="1556"/>
      <c r="N11" s="1557"/>
      <c r="O11" s="38"/>
      <c r="P11" s="44"/>
      <c r="Q11" s="38"/>
      <c r="R11" s="38"/>
      <c r="S11" s="38"/>
      <c r="T11" s="297"/>
      <c r="U11" s="297"/>
      <c r="V11" s="297"/>
      <c r="W11" s="297"/>
      <c r="X11" s="379"/>
      <c r="Y11" s="379"/>
      <c r="Z11" s="379"/>
      <c r="AA11" s="622"/>
    </row>
    <row r="12" spans="1:35" ht="13.6" hidden="1" customHeight="1" outlineLevel="1" x14ac:dyDescent="0.25">
      <c r="A12" s="364"/>
      <c r="B12" s="1535" t="s">
        <v>508</v>
      </c>
      <c r="C12" s="1536"/>
      <c r="D12" s="1536"/>
      <c r="E12" s="1536"/>
      <c r="F12" s="1536"/>
      <c r="G12" s="1536"/>
      <c r="H12" s="1536"/>
      <c r="I12" s="1537" t="s">
        <v>107</v>
      </c>
      <c r="J12" s="1550"/>
      <c r="K12" s="1563"/>
      <c r="L12" s="1554">
        <f t="shared" ref="L12" si="3">J12*K12</f>
        <v>0</v>
      </c>
      <c r="M12" s="1555" t="str">
        <f>IFERROR(IF((VLOOKUP(N12,Überblick!$M$124:$N$132,2))="ja","ja","nein"),"")</f>
        <v/>
      </c>
      <c r="N12" s="1557"/>
      <c r="O12" s="38">
        <f t="shared" si="0"/>
        <v>0</v>
      </c>
      <c r="P12" s="44">
        <f t="shared" si="2"/>
        <v>0</v>
      </c>
      <c r="Q12" s="38">
        <f>IF(AND(N12&lt;1,I12="ja"),1,0)</f>
        <v>0</v>
      </c>
      <c r="R12" s="38"/>
      <c r="S12" s="38"/>
      <c r="T12" s="297"/>
      <c r="U12" s="297"/>
      <c r="V12" s="297"/>
      <c r="W12" s="297"/>
      <c r="X12" s="379"/>
      <c r="Y12" s="379"/>
      <c r="Z12" s="379"/>
      <c r="AA12" s="622"/>
    </row>
    <row r="13" spans="1:35" ht="13.6" hidden="1" customHeight="1" outlineLevel="1" x14ac:dyDescent="0.25">
      <c r="A13" s="364"/>
      <c r="B13" s="1535"/>
      <c r="C13" s="1536"/>
      <c r="D13" s="1536"/>
      <c r="E13" s="1536"/>
      <c r="F13" s="1536"/>
      <c r="G13" s="1536"/>
      <c r="H13" s="1536"/>
      <c r="I13" s="1538"/>
      <c r="J13" s="1587"/>
      <c r="K13" s="1578"/>
      <c r="L13" s="1554"/>
      <c r="M13" s="1556"/>
      <c r="N13" s="1557"/>
      <c r="O13" s="38"/>
      <c r="P13" s="44"/>
      <c r="Q13" s="38"/>
      <c r="R13" s="38"/>
      <c r="S13" s="38"/>
      <c r="T13" s="297"/>
      <c r="U13" s="297"/>
      <c r="V13" s="297"/>
      <c r="W13" s="297"/>
      <c r="X13" s="379"/>
      <c r="Y13" s="379"/>
      <c r="Z13" s="379"/>
      <c r="AA13" s="622"/>
    </row>
    <row r="14" spans="1:35" ht="15.95" hidden="1" customHeight="1" outlineLevel="1" x14ac:dyDescent="0.25">
      <c r="A14" s="364"/>
      <c r="B14" s="1535" t="s">
        <v>509</v>
      </c>
      <c r="C14" s="1536"/>
      <c r="D14" s="1536"/>
      <c r="E14" s="1536"/>
      <c r="F14" s="1536"/>
      <c r="G14" s="1536"/>
      <c r="H14" s="1536"/>
      <c r="I14" s="1537" t="s">
        <v>107</v>
      </c>
      <c r="J14" s="1550"/>
      <c r="K14" s="1563"/>
      <c r="L14" s="1554">
        <f t="shared" ref="L14" si="4">J14*K14</f>
        <v>0</v>
      </c>
      <c r="M14" s="1555" t="str">
        <f>IFERROR(IF((VLOOKUP(N14,Überblick!$M$124:$N$132,2))="ja","ja","nein"),"")</f>
        <v/>
      </c>
      <c r="N14" s="1557"/>
      <c r="O14" s="38">
        <f t="shared" si="0"/>
        <v>0</v>
      </c>
      <c r="P14" s="44">
        <f t="shared" si="2"/>
        <v>0</v>
      </c>
      <c r="Q14" s="38">
        <f>IF(AND(N14&lt;1,I14="ja"),1,0)</f>
        <v>0</v>
      </c>
      <c r="R14" s="38"/>
      <c r="S14" s="38"/>
      <c r="T14" s="297"/>
      <c r="U14" s="297"/>
      <c r="V14" s="297"/>
      <c r="W14" s="297"/>
      <c r="X14" s="379"/>
      <c r="Y14" s="379"/>
      <c r="Z14" s="379"/>
      <c r="AA14" s="622"/>
    </row>
    <row r="15" spans="1:35" ht="15.95" hidden="1" customHeight="1" outlineLevel="1" x14ac:dyDescent="0.25">
      <c r="A15" s="364"/>
      <c r="B15" s="1535"/>
      <c r="C15" s="1536"/>
      <c r="D15" s="1536"/>
      <c r="E15" s="1536"/>
      <c r="F15" s="1536"/>
      <c r="G15" s="1536"/>
      <c r="H15" s="1536"/>
      <c r="I15" s="1538"/>
      <c r="J15" s="1587"/>
      <c r="K15" s="1578"/>
      <c r="L15" s="1554"/>
      <c r="M15" s="1556"/>
      <c r="N15" s="1557"/>
      <c r="O15" s="38"/>
      <c r="P15" s="44"/>
      <c r="Q15" s="38"/>
      <c r="R15" s="38"/>
      <c r="S15" s="38"/>
      <c r="T15" s="297"/>
      <c r="U15" s="297"/>
      <c r="V15" s="297"/>
      <c r="W15" s="297"/>
      <c r="X15" s="379"/>
      <c r="Y15" s="379"/>
      <c r="Z15" s="379"/>
      <c r="AA15" s="622"/>
    </row>
    <row r="16" spans="1:35" ht="14.25" hidden="1" customHeight="1" outlineLevel="1" x14ac:dyDescent="0.25">
      <c r="A16" s="364"/>
      <c r="B16" s="1535" t="s">
        <v>510</v>
      </c>
      <c r="C16" s="1536"/>
      <c r="D16" s="1536"/>
      <c r="E16" s="1536"/>
      <c r="F16" s="1536"/>
      <c r="G16" s="1536"/>
      <c r="H16" s="1536"/>
      <c r="I16" s="1537" t="s">
        <v>107</v>
      </c>
      <c r="J16" s="1550"/>
      <c r="K16" s="1563"/>
      <c r="L16" s="1554">
        <f t="shared" ref="L16" si="5">J16*K16</f>
        <v>0</v>
      </c>
      <c r="M16" s="1555" t="str">
        <f>IFERROR(IF((VLOOKUP(N16,Überblick!$M$124:$N$132,2))="ja","ja","nein"),"")</f>
        <v/>
      </c>
      <c r="N16" s="1557"/>
      <c r="O16" s="38">
        <f t="shared" si="0"/>
        <v>0</v>
      </c>
      <c r="P16" s="44">
        <f t="shared" si="2"/>
        <v>0</v>
      </c>
      <c r="Q16" s="38">
        <f>IF(AND(N16&lt;1,I16="ja"),1,0)</f>
        <v>0</v>
      </c>
      <c r="R16" s="38"/>
      <c r="S16" s="38"/>
      <c r="T16" s="297"/>
      <c r="U16" s="297"/>
      <c r="V16" s="297"/>
      <c r="W16" s="297"/>
      <c r="X16" s="379"/>
      <c r="Y16" s="379"/>
      <c r="Z16" s="379"/>
      <c r="AA16" s="119"/>
      <c r="AB16" s="119"/>
    </row>
    <row r="17" spans="1:39" ht="14.25" hidden="1" customHeight="1" outlineLevel="1" x14ac:dyDescent="0.25">
      <c r="A17" s="364"/>
      <c r="B17" s="1535"/>
      <c r="C17" s="1536"/>
      <c r="D17" s="1536"/>
      <c r="E17" s="1536"/>
      <c r="F17" s="1536"/>
      <c r="G17" s="1536"/>
      <c r="H17" s="1536"/>
      <c r="I17" s="1538"/>
      <c r="J17" s="1587"/>
      <c r="K17" s="1578"/>
      <c r="L17" s="1554"/>
      <c r="M17" s="1556"/>
      <c r="N17" s="1557"/>
      <c r="O17" s="38"/>
      <c r="P17" s="44"/>
      <c r="Q17" s="38"/>
      <c r="R17" s="38"/>
      <c r="S17" s="38"/>
      <c r="T17" s="297"/>
      <c r="U17" s="297"/>
      <c r="V17" s="297"/>
      <c r="W17" s="297"/>
      <c r="X17" s="379"/>
      <c r="Y17" s="379"/>
      <c r="Z17" s="379"/>
      <c r="AA17" s="622"/>
    </row>
    <row r="18" spans="1:39" ht="14.25" hidden="1" customHeight="1" outlineLevel="1" x14ac:dyDescent="0.25">
      <c r="A18" s="364"/>
      <c r="B18" s="1535" t="s">
        <v>511</v>
      </c>
      <c r="C18" s="1536"/>
      <c r="D18" s="1536"/>
      <c r="E18" s="1536"/>
      <c r="F18" s="1536"/>
      <c r="G18" s="1536"/>
      <c r="H18" s="1536"/>
      <c r="I18" s="1537" t="s">
        <v>107</v>
      </c>
      <c r="J18" s="1550"/>
      <c r="K18" s="1563"/>
      <c r="L18" s="1554">
        <f t="shared" ref="L18" si="6">J18*K18</f>
        <v>0</v>
      </c>
      <c r="M18" s="1555" t="str">
        <f>IFERROR(IF((VLOOKUP(N18,Überblick!$M$124:$N$132,2))="ja","ja","nein"),"")</f>
        <v/>
      </c>
      <c r="N18" s="1557"/>
      <c r="O18" s="38">
        <f t="shared" si="0"/>
        <v>0</v>
      </c>
      <c r="P18" s="44">
        <f t="shared" si="2"/>
        <v>0</v>
      </c>
      <c r="Q18" s="38">
        <f>IF(AND(N18&lt;1,I18="ja"),1,0)</f>
        <v>0</v>
      </c>
      <c r="R18" s="38"/>
      <c r="S18" s="38"/>
      <c r="T18" s="297"/>
      <c r="U18" s="297"/>
      <c r="V18" s="297"/>
      <c r="W18" s="297"/>
      <c r="X18" s="379"/>
      <c r="Y18" s="379"/>
      <c r="Z18" s="379"/>
      <c r="AA18" s="622"/>
    </row>
    <row r="19" spans="1:39" ht="14.25" hidden="1" customHeight="1" outlineLevel="1" x14ac:dyDescent="0.25">
      <c r="A19" s="364"/>
      <c r="B19" s="1535"/>
      <c r="C19" s="1536"/>
      <c r="D19" s="1536"/>
      <c r="E19" s="1536"/>
      <c r="F19" s="1536"/>
      <c r="G19" s="1536"/>
      <c r="H19" s="1536"/>
      <c r="I19" s="1538"/>
      <c r="J19" s="1587"/>
      <c r="K19" s="1578"/>
      <c r="L19" s="1554"/>
      <c r="M19" s="1556"/>
      <c r="N19" s="1557"/>
      <c r="O19" s="38"/>
      <c r="P19" s="44"/>
      <c r="Q19" s="38"/>
      <c r="R19" s="38"/>
      <c r="S19" s="38"/>
      <c r="T19" s="297"/>
      <c r="U19" s="297"/>
      <c r="V19" s="297"/>
      <c r="W19" s="297"/>
      <c r="X19" s="379"/>
      <c r="Y19" s="379"/>
      <c r="Z19" s="379"/>
      <c r="AA19" s="622"/>
    </row>
    <row r="20" spans="1:39" ht="14.25" hidden="1" customHeight="1" outlineLevel="1" x14ac:dyDescent="0.25">
      <c r="A20" s="364"/>
      <c r="B20" s="1535" t="s">
        <v>512</v>
      </c>
      <c r="C20" s="1536"/>
      <c r="D20" s="1536"/>
      <c r="E20" s="1536"/>
      <c r="F20" s="1536"/>
      <c r="G20" s="1536"/>
      <c r="H20" s="1536"/>
      <c r="I20" s="1537" t="s">
        <v>107</v>
      </c>
      <c r="J20" s="1550"/>
      <c r="K20" s="1563"/>
      <c r="L20" s="1554">
        <f t="shared" ref="L20" si="7">J20*K20</f>
        <v>0</v>
      </c>
      <c r="M20" s="1555" t="str">
        <f>IFERROR(IF((VLOOKUP(N20,Überblick!$M$124:$N$132,2))="ja","ja","nein"),"")</f>
        <v/>
      </c>
      <c r="N20" s="1557"/>
      <c r="O20" s="38">
        <f t="shared" si="0"/>
        <v>0</v>
      </c>
      <c r="P20" s="44">
        <f t="shared" si="2"/>
        <v>0</v>
      </c>
      <c r="Q20" s="38">
        <f>IF(AND(N20&lt;1,I20="ja"),1,0)</f>
        <v>0</v>
      </c>
      <c r="R20" s="38"/>
      <c r="S20" s="38"/>
      <c r="T20" s="297"/>
      <c r="U20" s="297"/>
      <c r="V20" s="297"/>
      <c r="W20" s="297"/>
      <c r="X20" s="379"/>
      <c r="Y20" s="379"/>
      <c r="Z20" s="379"/>
      <c r="AA20" s="622"/>
    </row>
    <row r="21" spans="1:39" ht="14.25" hidden="1" customHeight="1" outlineLevel="1" x14ac:dyDescent="0.25">
      <c r="A21" s="364"/>
      <c r="B21" s="1535"/>
      <c r="C21" s="1536"/>
      <c r="D21" s="1536"/>
      <c r="E21" s="1536"/>
      <c r="F21" s="1536"/>
      <c r="G21" s="1536"/>
      <c r="H21" s="1536"/>
      <c r="I21" s="1538"/>
      <c r="J21" s="1587"/>
      <c r="K21" s="1578"/>
      <c r="L21" s="1554"/>
      <c r="M21" s="1556"/>
      <c r="N21" s="1557"/>
      <c r="O21" s="38"/>
      <c r="P21" s="44"/>
      <c r="Q21" s="38"/>
      <c r="R21" s="38"/>
      <c r="S21" s="38"/>
      <c r="T21" s="297"/>
      <c r="U21" s="297"/>
      <c r="V21" s="297"/>
      <c r="W21" s="297"/>
      <c r="X21" s="379"/>
      <c r="Y21" s="379"/>
      <c r="Z21" s="379"/>
      <c r="AA21" s="622"/>
    </row>
    <row r="22" spans="1:39" ht="14.25" hidden="1" customHeight="1" outlineLevel="1" x14ac:dyDescent="0.25">
      <c r="A22" s="364"/>
      <c r="B22" s="1535" t="s">
        <v>513</v>
      </c>
      <c r="C22" s="1536"/>
      <c r="D22" s="1536"/>
      <c r="E22" s="1536"/>
      <c r="F22" s="1536"/>
      <c r="G22" s="1536"/>
      <c r="H22" s="1536"/>
      <c r="I22" s="1537" t="s">
        <v>107</v>
      </c>
      <c r="J22" s="1550"/>
      <c r="K22" s="1563"/>
      <c r="L22" s="1554">
        <f t="shared" ref="L22" si="8">J22*K22</f>
        <v>0</v>
      </c>
      <c r="M22" s="1555" t="str">
        <f>IFERROR(IF((VLOOKUP(N22,Überblick!$M$124:$N$132,2))="ja","ja","nein"),"")</f>
        <v/>
      </c>
      <c r="N22" s="1557"/>
      <c r="O22" s="38">
        <f t="shared" si="0"/>
        <v>0</v>
      </c>
      <c r="P22" s="44">
        <f t="shared" si="2"/>
        <v>0</v>
      </c>
      <c r="Q22" s="38">
        <f>IF(AND(N22&lt;1,I22="ja"),1,0)</f>
        <v>0</v>
      </c>
      <c r="R22" s="38"/>
      <c r="S22" s="38"/>
      <c r="T22" s="297"/>
      <c r="U22" s="297"/>
      <c r="V22" s="297"/>
      <c r="W22" s="297"/>
      <c r="X22" s="379"/>
      <c r="Y22" s="379"/>
      <c r="Z22" s="379"/>
      <c r="AA22" s="622"/>
    </row>
    <row r="23" spans="1:39" ht="14.25" hidden="1" customHeight="1" outlineLevel="1" x14ac:dyDescent="0.25">
      <c r="A23" s="364"/>
      <c r="B23" s="1535"/>
      <c r="C23" s="1536"/>
      <c r="D23" s="1536"/>
      <c r="E23" s="1536"/>
      <c r="F23" s="1536"/>
      <c r="G23" s="1536"/>
      <c r="H23" s="1536"/>
      <c r="I23" s="1538"/>
      <c r="J23" s="1587"/>
      <c r="K23" s="1578"/>
      <c r="L23" s="1554"/>
      <c r="M23" s="1556"/>
      <c r="N23" s="1557"/>
      <c r="O23" s="38"/>
      <c r="P23" s="44"/>
      <c r="Q23" s="38"/>
      <c r="R23" s="38"/>
      <c r="S23" s="38"/>
      <c r="T23" s="297"/>
      <c r="U23" s="297"/>
      <c r="V23" s="297"/>
      <c r="W23" s="297"/>
      <c r="X23" s="379"/>
      <c r="Y23" s="379"/>
      <c r="Z23" s="379"/>
      <c r="AA23" s="622"/>
    </row>
    <row r="24" spans="1:39" ht="14.25" hidden="1" customHeight="1" outlineLevel="1" x14ac:dyDescent="0.25">
      <c r="A24" s="364"/>
      <c r="B24" s="1535" t="s">
        <v>514</v>
      </c>
      <c r="C24" s="1536"/>
      <c r="D24" s="1536"/>
      <c r="E24" s="1536"/>
      <c r="F24" s="1536"/>
      <c r="G24" s="1536"/>
      <c r="H24" s="1536"/>
      <c r="I24" s="1537" t="s">
        <v>107</v>
      </c>
      <c r="J24" s="1539"/>
      <c r="K24" s="1553"/>
      <c r="L24" s="1554">
        <f t="shared" ref="L24" si="9">J24*K24</f>
        <v>0</v>
      </c>
      <c r="M24" s="1555" t="str">
        <f>IFERROR(IF((VLOOKUP(N24,Überblick!$M$124:$N$132,2))="ja","ja","nein"),"")</f>
        <v/>
      </c>
      <c r="N24" s="1557"/>
      <c r="O24" s="38">
        <f t="shared" si="0"/>
        <v>0</v>
      </c>
      <c r="P24" s="44">
        <f t="shared" si="2"/>
        <v>0</v>
      </c>
      <c r="Q24" s="38">
        <f>IF(AND(N24&lt;1,I24="ja"),1,0)</f>
        <v>0</v>
      </c>
      <c r="R24" s="38"/>
      <c r="S24" s="38"/>
      <c r="T24" s="297"/>
      <c r="U24" s="297"/>
      <c r="V24" s="297"/>
      <c r="W24" s="297"/>
      <c r="X24" s="379"/>
      <c r="Y24" s="379"/>
      <c r="Z24" s="379"/>
      <c r="AA24" s="622"/>
      <c r="AD24" s="38"/>
      <c r="AE24" s="38"/>
      <c r="AF24" s="38"/>
      <c r="AG24" s="38"/>
      <c r="AH24" s="38"/>
      <c r="AI24" s="38"/>
      <c r="AJ24" s="38"/>
      <c r="AK24" s="38"/>
      <c r="AL24" s="38"/>
      <c r="AM24" s="38"/>
    </row>
    <row r="25" spans="1:39" ht="14.25" hidden="1" customHeight="1" outlineLevel="1" x14ac:dyDescent="0.25">
      <c r="A25" s="364"/>
      <c r="B25" s="1535"/>
      <c r="C25" s="1536"/>
      <c r="D25" s="1536"/>
      <c r="E25" s="1536"/>
      <c r="F25" s="1536"/>
      <c r="G25" s="1536"/>
      <c r="H25" s="1536"/>
      <c r="I25" s="1538"/>
      <c r="J25" s="1539"/>
      <c r="K25" s="1553"/>
      <c r="L25" s="1554"/>
      <c r="M25" s="1556"/>
      <c r="N25" s="1557"/>
      <c r="O25" s="38"/>
      <c r="P25" s="44"/>
      <c r="Q25" s="38"/>
      <c r="R25" s="38"/>
      <c r="S25" s="38"/>
      <c r="T25" s="297"/>
      <c r="U25" s="297"/>
      <c r="V25" s="297"/>
      <c r="W25" s="297"/>
      <c r="X25" s="379"/>
      <c r="Y25" s="379"/>
      <c r="Z25" s="379"/>
      <c r="AA25" s="622"/>
      <c r="AD25" s="38"/>
      <c r="AE25" s="38"/>
      <c r="AF25" s="38"/>
      <c r="AG25" s="38"/>
      <c r="AH25" s="38"/>
      <c r="AI25" s="38"/>
      <c r="AJ25" s="38"/>
      <c r="AK25" s="38"/>
      <c r="AL25" s="38"/>
      <c r="AM25" s="38"/>
    </row>
    <row r="26" spans="1:39" ht="14.25" hidden="1" customHeight="1" outlineLevel="1" x14ac:dyDescent="0.25">
      <c r="A26" s="364"/>
      <c r="B26" s="1535" t="s">
        <v>515</v>
      </c>
      <c r="C26" s="1536"/>
      <c r="D26" s="1536"/>
      <c r="E26" s="1536"/>
      <c r="F26" s="1536"/>
      <c r="G26" s="1536"/>
      <c r="H26" s="1536"/>
      <c r="I26" s="1537" t="s">
        <v>107</v>
      </c>
      <c r="J26" s="1539"/>
      <c r="K26" s="1553"/>
      <c r="L26" s="1554">
        <f t="shared" ref="L26" si="10">J26*K26</f>
        <v>0</v>
      </c>
      <c r="M26" s="1555" t="str">
        <f>IFERROR(IF((VLOOKUP(N26,Überblick!$M$124:$N$132,2))="ja","ja","nein"),"")</f>
        <v/>
      </c>
      <c r="N26" s="1557"/>
      <c r="O26" s="38">
        <f t="shared" si="0"/>
        <v>0</v>
      </c>
      <c r="P26" s="44">
        <f t="shared" si="2"/>
        <v>0</v>
      </c>
      <c r="Q26" s="38">
        <f>IF(AND(N26&lt;1,I26="ja"),1,0)</f>
        <v>0</v>
      </c>
      <c r="R26" s="38"/>
      <c r="S26" s="38"/>
      <c r="T26" s="297"/>
      <c r="U26" s="297"/>
      <c r="V26" s="297"/>
      <c r="W26" s="297"/>
      <c r="X26" s="379"/>
      <c r="Y26" s="379"/>
      <c r="Z26" s="379"/>
      <c r="AA26" s="622"/>
      <c r="AD26" s="38"/>
      <c r="AE26" s="38"/>
      <c r="AF26" s="38"/>
      <c r="AG26" s="38"/>
      <c r="AH26" s="38"/>
      <c r="AI26" s="38"/>
      <c r="AJ26" s="38"/>
      <c r="AK26" s="38"/>
      <c r="AL26" s="38"/>
      <c r="AM26" s="38"/>
    </row>
    <row r="27" spans="1:39" ht="14.25" hidden="1" customHeight="1" outlineLevel="1" x14ac:dyDescent="0.25">
      <c r="A27" s="364"/>
      <c r="B27" s="1535"/>
      <c r="C27" s="1536"/>
      <c r="D27" s="1536"/>
      <c r="E27" s="1536"/>
      <c r="F27" s="1536"/>
      <c r="G27" s="1536"/>
      <c r="H27" s="1536"/>
      <c r="I27" s="1538"/>
      <c r="J27" s="1539"/>
      <c r="K27" s="1553"/>
      <c r="L27" s="1554"/>
      <c r="M27" s="1556"/>
      <c r="N27" s="1557"/>
      <c r="O27" s="38"/>
      <c r="P27" s="44"/>
      <c r="Q27" s="38"/>
      <c r="R27" s="38"/>
      <c r="S27" s="38"/>
      <c r="T27" s="297"/>
      <c r="U27" s="297"/>
      <c r="V27" s="297"/>
      <c r="W27" s="297"/>
      <c r="X27" s="379"/>
      <c r="Y27" s="379"/>
      <c r="Z27" s="379"/>
      <c r="AA27" s="622"/>
      <c r="AD27" s="38"/>
      <c r="AE27" s="38"/>
      <c r="AF27" s="38"/>
      <c r="AG27" s="38"/>
      <c r="AH27" s="38"/>
      <c r="AI27" s="38"/>
      <c r="AJ27" s="38"/>
      <c r="AK27" s="38"/>
      <c r="AL27" s="38"/>
      <c r="AM27" s="38"/>
    </row>
    <row r="28" spans="1:39" ht="14.25" hidden="1" customHeight="1" outlineLevel="1" x14ac:dyDescent="0.25">
      <c r="A28" s="364"/>
      <c r="B28" s="1535" t="s">
        <v>516</v>
      </c>
      <c r="C28" s="1536"/>
      <c r="D28" s="1536"/>
      <c r="E28" s="1536"/>
      <c r="F28" s="1536"/>
      <c r="G28" s="1536"/>
      <c r="H28" s="1536"/>
      <c r="I28" s="1537" t="s">
        <v>107</v>
      </c>
      <c r="J28" s="1539"/>
      <c r="K28" s="1553"/>
      <c r="L28" s="1554">
        <f t="shared" ref="L28" si="11">J28*K28</f>
        <v>0</v>
      </c>
      <c r="M28" s="1555" t="str">
        <f>IFERROR(IF((VLOOKUP(N28,Überblick!$M$124:$N$132,2))="ja","ja","nein"),"")</f>
        <v/>
      </c>
      <c r="N28" s="1557"/>
      <c r="O28" s="38">
        <f t="shared" si="0"/>
        <v>0</v>
      </c>
      <c r="P28" s="44">
        <f t="shared" si="2"/>
        <v>0</v>
      </c>
      <c r="Q28" s="38">
        <f>IF(AND(N28&lt;1,I28="ja"),1,0)</f>
        <v>0</v>
      </c>
      <c r="R28" s="38"/>
      <c r="S28" s="38"/>
      <c r="T28" s="297"/>
      <c r="U28" s="297"/>
      <c r="V28" s="297"/>
      <c r="W28" s="297"/>
      <c r="X28" s="379"/>
      <c r="Y28" s="379"/>
      <c r="Z28" s="379"/>
      <c r="AA28" s="622"/>
      <c r="AD28" s="38"/>
      <c r="AE28" s="38"/>
      <c r="AF28" s="38"/>
      <c r="AG28" s="38"/>
      <c r="AH28" s="38"/>
      <c r="AI28" s="38"/>
      <c r="AJ28" s="38"/>
      <c r="AK28" s="38"/>
      <c r="AL28" s="38"/>
      <c r="AM28" s="38"/>
    </row>
    <row r="29" spans="1:39" ht="14.25" hidden="1" customHeight="1" outlineLevel="1" x14ac:dyDescent="0.25">
      <c r="A29" s="364"/>
      <c r="B29" s="1535"/>
      <c r="C29" s="1536"/>
      <c r="D29" s="1536"/>
      <c r="E29" s="1536"/>
      <c r="F29" s="1536"/>
      <c r="G29" s="1536"/>
      <c r="H29" s="1536"/>
      <c r="I29" s="1538"/>
      <c r="J29" s="1539"/>
      <c r="K29" s="1553"/>
      <c r="L29" s="1554"/>
      <c r="M29" s="1556"/>
      <c r="N29" s="1557"/>
      <c r="O29" s="38"/>
      <c r="P29" s="44"/>
      <c r="Q29" s="38"/>
      <c r="R29" s="38"/>
      <c r="S29" s="38"/>
      <c r="T29" s="297"/>
      <c r="U29" s="297"/>
      <c r="V29" s="297"/>
      <c r="W29" s="297"/>
      <c r="X29" s="379"/>
      <c r="Y29" s="379"/>
      <c r="Z29" s="379"/>
      <c r="AA29" s="622"/>
      <c r="AD29" s="38"/>
      <c r="AE29" s="38"/>
      <c r="AF29" s="38"/>
      <c r="AG29" s="38"/>
      <c r="AH29" s="38"/>
      <c r="AI29" s="38"/>
      <c r="AJ29" s="38"/>
      <c r="AK29" s="38"/>
      <c r="AL29" s="38"/>
      <c r="AM29" s="38"/>
    </row>
    <row r="30" spans="1:39" ht="14.25" hidden="1" customHeight="1" outlineLevel="1" x14ac:dyDescent="0.25">
      <c r="A30" s="364"/>
      <c r="B30" s="1535" t="s">
        <v>517</v>
      </c>
      <c r="C30" s="1536"/>
      <c r="D30" s="1536"/>
      <c r="E30" s="1536"/>
      <c r="F30" s="1536"/>
      <c r="G30" s="1536"/>
      <c r="H30" s="1536"/>
      <c r="I30" s="1537" t="s">
        <v>107</v>
      </c>
      <c r="J30" s="1539"/>
      <c r="K30" s="1553"/>
      <c r="L30" s="1554">
        <f t="shared" ref="L30" si="12">J30*K30</f>
        <v>0</v>
      </c>
      <c r="M30" s="1555" t="str">
        <f>IFERROR(IF((VLOOKUP(N30,Überblick!$M$124:$N$132,2))="ja","ja","nein"),"")</f>
        <v/>
      </c>
      <c r="N30" s="1557"/>
      <c r="O30" s="38">
        <f t="shared" si="0"/>
        <v>0</v>
      </c>
      <c r="P30" s="44">
        <f t="shared" si="2"/>
        <v>0</v>
      </c>
      <c r="Q30" s="38">
        <f>IF(AND(N30&lt;1,I30="ja"),1,0)</f>
        <v>0</v>
      </c>
      <c r="R30" s="38"/>
      <c r="S30" s="38"/>
      <c r="T30" s="297"/>
      <c r="U30" s="297"/>
      <c r="V30" s="297"/>
      <c r="W30" s="297"/>
      <c r="X30" s="379"/>
      <c r="Y30" s="379"/>
      <c r="Z30" s="379"/>
      <c r="AA30" s="622"/>
      <c r="AD30" s="38"/>
      <c r="AE30" s="38"/>
      <c r="AF30" s="38"/>
      <c r="AG30" s="38"/>
      <c r="AH30" s="38"/>
      <c r="AI30" s="38"/>
      <c r="AJ30" s="38"/>
      <c r="AK30" s="38"/>
      <c r="AL30" s="38"/>
      <c r="AM30" s="38"/>
    </row>
    <row r="31" spans="1:39" ht="14.25" hidden="1" customHeight="1" outlineLevel="1" x14ac:dyDescent="0.25">
      <c r="A31" s="364"/>
      <c r="B31" s="1535"/>
      <c r="C31" s="1536"/>
      <c r="D31" s="1536"/>
      <c r="E31" s="1536"/>
      <c r="F31" s="1536"/>
      <c r="G31" s="1536"/>
      <c r="H31" s="1536"/>
      <c r="I31" s="1538"/>
      <c r="J31" s="1539"/>
      <c r="K31" s="1553"/>
      <c r="L31" s="1554"/>
      <c r="M31" s="1556"/>
      <c r="N31" s="1557"/>
      <c r="O31" s="38"/>
      <c r="P31" s="44"/>
      <c r="Q31" s="38"/>
      <c r="R31" s="38"/>
      <c r="S31" s="38"/>
      <c r="T31" s="297"/>
      <c r="U31" s="297"/>
      <c r="V31" s="297"/>
      <c r="W31" s="297"/>
      <c r="X31" s="379"/>
      <c r="Y31" s="379"/>
      <c r="Z31" s="379"/>
      <c r="AA31" s="622"/>
      <c r="AD31" s="38"/>
      <c r="AE31" s="38"/>
      <c r="AF31" s="38"/>
      <c r="AG31" s="38"/>
      <c r="AH31" s="38"/>
      <c r="AI31" s="38"/>
      <c r="AJ31" s="38"/>
      <c r="AK31" s="38"/>
      <c r="AL31" s="38"/>
      <c r="AM31" s="38"/>
    </row>
    <row r="32" spans="1:39" ht="14.25" hidden="1" customHeight="1" outlineLevel="1" x14ac:dyDescent="0.25">
      <c r="A32" s="364"/>
      <c r="B32" s="1535" t="s">
        <v>518</v>
      </c>
      <c r="C32" s="1536"/>
      <c r="D32" s="1536"/>
      <c r="E32" s="1536"/>
      <c r="F32" s="1536"/>
      <c r="G32" s="1536"/>
      <c r="H32" s="1536"/>
      <c r="I32" s="1537" t="s">
        <v>107</v>
      </c>
      <c r="J32" s="1539"/>
      <c r="K32" s="1553"/>
      <c r="L32" s="1554">
        <f t="shared" ref="L32" si="13">J32*K32</f>
        <v>0</v>
      </c>
      <c r="M32" s="1555" t="str">
        <f>IFERROR(IF((VLOOKUP(N32,Überblick!$M$124:$N$132,2))="ja","ja","nein"),"")</f>
        <v/>
      </c>
      <c r="N32" s="1557"/>
      <c r="O32" s="38">
        <f t="shared" si="0"/>
        <v>0</v>
      </c>
      <c r="P32" s="44">
        <f t="shared" si="2"/>
        <v>0</v>
      </c>
      <c r="Q32" s="38">
        <f>IF(AND(N32&lt;1,I32="ja"),1,0)</f>
        <v>0</v>
      </c>
      <c r="R32" s="38"/>
      <c r="S32" s="38"/>
      <c r="T32" s="297"/>
      <c r="U32" s="297"/>
      <c r="V32" s="297"/>
      <c r="W32" s="297"/>
      <c r="X32" s="379"/>
      <c r="Y32" s="379"/>
      <c r="Z32" s="379"/>
      <c r="AA32" s="121"/>
      <c r="AB32" s="121"/>
      <c r="AD32" s="38"/>
      <c r="AE32" s="38"/>
      <c r="AF32" s="38"/>
      <c r="AG32" s="38"/>
      <c r="AH32" s="38"/>
      <c r="AI32" s="38"/>
      <c r="AJ32" s="38"/>
      <c r="AK32" s="38"/>
      <c r="AL32" s="38"/>
      <c r="AM32" s="38"/>
    </row>
    <row r="33" spans="1:45" ht="14.25" hidden="1" customHeight="1" outlineLevel="1" x14ac:dyDescent="0.25">
      <c r="A33" s="364"/>
      <c r="B33" s="1535"/>
      <c r="C33" s="1536"/>
      <c r="D33" s="1536"/>
      <c r="E33" s="1536"/>
      <c r="F33" s="1536"/>
      <c r="G33" s="1536"/>
      <c r="H33" s="1536"/>
      <c r="I33" s="1538"/>
      <c r="J33" s="1539"/>
      <c r="K33" s="1553"/>
      <c r="L33" s="1554"/>
      <c r="M33" s="1556"/>
      <c r="N33" s="1557"/>
      <c r="O33" s="38"/>
      <c r="P33" s="44"/>
      <c r="Q33" s="38"/>
      <c r="R33" s="38"/>
      <c r="S33" s="38"/>
      <c r="T33" s="297"/>
      <c r="U33" s="297"/>
      <c r="V33" s="297"/>
      <c r="W33" s="297"/>
      <c r="X33" s="379"/>
      <c r="Y33" s="379"/>
      <c r="Z33" s="379"/>
      <c r="AA33" s="622"/>
      <c r="AD33" s="38"/>
      <c r="AE33" s="38"/>
      <c r="AF33" s="38"/>
      <c r="AG33" s="38"/>
      <c r="AH33" s="38"/>
      <c r="AI33" s="38"/>
      <c r="AJ33" s="38"/>
      <c r="AK33" s="38"/>
      <c r="AL33" s="38"/>
      <c r="AM33" s="38"/>
      <c r="AN33" s="35"/>
      <c r="AO33" s="35"/>
      <c r="AP33" s="35"/>
      <c r="AQ33" s="35"/>
      <c r="AR33" s="35"/>
      <c r="AS33" s="35"/>
    </row>
    <row r="34" spans="1:45" ht="15" hidden="1" customHeight="1" outlineLevel="1" x14ac:dyDescent="0.25">
      <c r="A34" s="364"/>
      <c r="B34" s="1535" t="s">
        <v>519</v>
      </c>
      <c r="C34" s="1536"/>
      <c r="D34" s="1536"/>
      <c r="E34" s="1536"/>
      <c r="F34" s="1536"/>
      <c r="G34" s="1536"/>
      <c r="H34" s="1536"/>
      <c r="I34" s="1537" t="s">
        <v>107</v>
      </c>
      <c r="J34" s="1539"/>
      <c r="K34" s="1553"/>
      <c r="L34" s="1554">
        <f t="shared" ref="L34" si="14">J34*K34</f>
        <v>0</v>
      </c>
      <c r="M34" s="1555" t="str">
        <f>IFERROR(IF((VLOOKUP(N34,Überblick!$M$124:$N$132,2))="ja","ja","nein"),"")</f>
        <v/>
      </c>
      <c r="N34" s="1557"/>
      <c r="O34" s="38">
        <f t="shared" si="0"/>
        <v>0</v>
      </c>
      <c r="P34" s="44">
        <f t="shared" si="2"/>
        <v>0</v>
      </c>
      <c r="Q34" s="38">
        <f>IF(AND(N34&lt;1,I34="ja"),1,0)</f>
        <v>0</v>
      </c>
      <c r="R34" s="38"/>
      <c r="S34" s="38"/>
      <c r="T34" s="297"/>
      <c r="U34" s="297"/>
      <c r="V34" s="297"/>
      <c r="W34" s="297"/>
      <c r="X34" s="379"/>
      <c r="Y34" s="379"/>
      <c r="Z34" s="379"/>
      <c r="AA34" s="622"/>
      <c r="AD34" s="38"/>
      <c r="AE34" s="38"/>
      <c r="AF34" s="38"/>
      <c r="AG34" s="38"/>
      <c r="AH34" s="38"/>
      <c r="AI34" s="38"/>
      <c r="AJ34" s="38"/>
      <c r="AK34" s="38"/>
      <c r="AL34" s="38"/>
      <c r="AM34" s="38"/>
      <c r="AN34" s="35"/>
      <c r="AO34" s="35"/>
      <c r="AP34" s="35"/>
      <c r="AQ34" s="35"/>
      <c r="AR34" s="35"/>
      <c r="AS34" s="35"/>
    </row>
    <row r="35" spans="1:45" ht="14.25" hidden="1" customHeight="1" outlineLevel="1" x14ac:dyDescent="0.25">
      <c r="A35" s="364"/>
      <c r="B35" s="1535"/>
      <c r="C35" s="1536"/>
      <c r="D35" s="1536"/>
      <c r="E35" s="1536"/>
      <c r="F35" s="1536"/>
      <c r="G35" s="1536"/>
      <c r="H35" s="1536"/>
      <c r="I35" s="1538"/>
      <c r="J35" s="1539"/>
      <c r="K35" s="1553"/>
      <c r="L35" s="1554"/>
      <c r="M35" s="1556"/>
      <c r="N35" s="1557"/>
      <c r="O35" s="38"/>
      <c r="P35" s="44"/>
      <c r="Q35" s="38"/>
      <c r="R35" s="38"/>
      <c r="S35" s="38"/>
      <c r="T35" s="297"/>
      <c r="U35" s="297"/>
      <c r="V35" s="297"/>
      <c r="W35" s="297"/>
      <c r="X35" s="379"/>
      <c r="Y35" s="379"/>
      <c r="Z35" s="379"/>
      <c r="AA35" s="622"/>
      <c r="AD35" s="38"/>
      <c r="AE35" s="38"/>
      <c r="AF35" s="38"/>
      <c r="AG35" s="38"/>
      <c r="AH35" s="38"/>
      <c r="AI35" s="38"/>
      <c r="AJ35" s="38"/>
      <c r="AK35" s="38"/>
      <c r="AL35" s="38"/>
      <c r="AM35" s="38"/>
      <c r="AN35" s="35"/>
      <c r="AO35" s="35"/>
      <c r="AP35" s="35"/>
      <c r="AQ35" s="35"/>
      <c r="AR35" s="35"/>
      <c r="AS35" s="35"/>
    </row>
    <row r="36" spans="1:45" ht="14.25" hidden="1" customHeight="1" outlineLevel="1" x14ac:dyDescent="0.25">
      <c r="A36" s="364"/>
      <c r="B36" s="1535" t="s">
        <v>520</v>
      </c>
      <c r="C36" s="1536"/>
      <c r="D36" s="1536"/>
      <c r="E36" s="1536"/>
      <c r="F36" s="1536"/>
      <c r="G36" s="1536"/>
      <c r="H36" s="1536"/>
      <c r="I36" s="1537" t="s">
        <v>107</v>
      </c>
      <c r="J36" s="1539"/>
      <c r="K36" s="1553"/>
      <c r="L36" s="1554">
        <f t="shared" ref="L36" si="15">J36*K36</f>
        <v>0</v>
      </c>
      <c r="M36" s="1555" t="str">
        <f>IFERROR(IF((VLOOKUP(N36,Überblick!$M$124:$N$132,2))="ja","ja","nein"),"")</f>
        <v/>
      </c>
      <c r="N36" s="1557"/>
      <c r="O36" s="38">
        <f t="shared" si="0"/>
        <v>0</v>
      </c>
      <c r="P36" s="44">
        <f t="shared" si="2"/>
        <v>0</v>
      </c>
      <c r="Q36" s="38">
        <f>IF(AND(N36&lt;1,I36="ja"),1,0)</f>
        <v>0</v>
      </c>
      <c r="R36" s="38"/>
      <c r="S36" s="38"/>
      <c r="T36" s="297"/>
      <c r="U36" s="297"/>
      <c r="V36" s="297"/>
      <c r="W36" s="297"/>
      <c r="X36" s="379"/>
      <c r="Y36" s="379"/>
      <c r="Z36" s="379"/>
      <c r="AA36" s="622"/>
      <c r="AD36" s="38"/>
      <c r="AE36" s="38"/>
      <c r="AF36" s="38"/>
      <c r="AG36" s="38"/>
      <c r="AH36" s="38"/>
      <c r="AI36" s="38"/>
      <c r="AJ36" s="38"/>
      <c r="AK36" s="38"/>
      <c r="AL36" s="38"/>
      <c r="AM36" s="38"/>
      <c r="AN36" s="35"/>
      <c r="AO36" s="35"/>
      <c r="AP36" s="35"/>
      <c r="AQ36" s="35"/>
      <c r="AR36" s="35"/>
      <c r="AS36" s="35"/>
    </row>
    <row r="37" spans="1:45" ht="14.25" hidden="1" customHeight="1" outlineLevel="1" x14ac:dyDescent="0.25">
      <c r="A37" s="364"/>
      <c r="B37" s="1535"/>
      <c r="C37" s="1536"/>
      <c r="D37" s="1536"/>
      <c r="E37" s="1536"/>
      <c r="F37" s="1536"/>
      <c r="G37" s="1536"/>
      <c r="H37" s="1536"/>
      <c r="I37" s="1538"/>
      <c r="J37" s="1539"/>
      <c r="K37" s="1553"/>
      <c r="L37" s="1554"/>
      <c r="M37" s="1556"/>
      <c r="N37" s="1557"/>
      <c r="O37" s="38"/>
      <c r="P37" s="44"/>
      <c r="Q37" s="38"/>
      <c r="R37" s="38"/>
      <c r="S37" s="38"/>
      <c r="T37" s="297"/>
      <c r="U37" s="297"/>
      <c r="V37" s="297"/>
      <c r="W37" s="297"/>
      <c r="X37" s="379"/>
      <c r="Y37" s="379"/>
      <c r="Z37" s="379"/>
      <c r="AA37" s="622"/>
      <c r="AD37" s="38"/>
      <c r="AE37" s="38"/>
      <c r="AF37" s="38"/>
      <c r="AG37" s="38"/>
      <c r="AH37" s="38"/>
      <c r="AI37" s="38"/>
      <c r="AJ37" s="38"/>
      <c r="AK37" s="38"/>
      <c r="AL37" s="38"/>
      <c r="AM37" s="38"/>
      <c r="AN37" s="35"/>
      <c r="AO37" s="35"/>
      <c r="AP37" s="35"/>
      <c r="AQ37" s="35"/>
      <c r="AR37" s="35"/>
      <c r="AS37" s="35"/>
    </row>
    <row r="38" spans="1:45" ht="14.25" hidden="1" customHeight="1" outlineLevel="1" x14ac:dyDescent="0.25">
      <c r="A38" s="364"/>
      <c r="B38" s="1535" t="s">
        <v>521</v>
      </c>
      <c r="C38" s="1536"/>
      <c r="D38" s="1536"/>
      <c r="E38" s="1536"/>
      <c r="F38" s="1536"/>
      <c r="G38" s="1536"/>
      <c r="H38" s="1536"/>
      <c r="I38" s="1537" t="s">
        <v>107</v>
      </c>
      <c r="J38" s="1539"/>
      <c r="K38" s="1553"/>
      <c r="L38" s="1554">
        <f t="shared" ref="L38" si="16">J38*K38</f>
        <v>0</v>
      </c>
      <c r="M38" s="1555" t="str">
        <f>IFERROR(IF((VLOOKUP(N38,Überblick!$M$124:$N$132,2))="ja","ja","nein"),"")</f>
        <v/>
      </c>
      <c r="N38" s="1557"/>
      <c r="O38" s="38">
        <f t="shared" si="0"/>
        <v>0</v>
      </c>
      <c r="P38" s="44">
        <f t="shared" si="2"/>
        <v>0</v>
      </c>
      <c r="Q38" s="38">
        <f>IF(AND(N38&lt;1,I38="ja"),1,0)</f>
        <v>0</v>
      </c>
      <c r="R38" s="38"/>
      <c r="S38" s="38"/>
      <c r="T38" s="297"/>
      <c r="U38" s="297"/>
      <c r="V38" s="297"/>
      <c r="W38" s="297"/>
      <c r="X38" s="379"/>
      <c r="Y38" s="379"/>
      <c r="Z38" s="379"/>
      <c r="AA38" s="622"/>
      <c r="AD38" s="38"/>
      <c r="AE38" s="38"/>
      <c r="AF38" s="38"/>
      <c r="AG38" s="38"/>
      <c r="AH38" s="38"/>
      <c r="AI38" s="38"/>
      <c r="AJ38" s="38"/>
      <c r="AK38" s="38"/>
      <c r="AL38" s="38"/>
      <c r="AM38" s="38"/>
      <c r="AN38" s="35"/>
      <c r="AO38" s="35"/>
      <c r="AP38" s="35"/>
      <c r="AQ38" s="35"/>
      <c r="AR38" s="35"/>
      <c r="AS38" s="35"/>
    </row>
    <row r="39" spans="1:45" ht="14.25" hidden="1" customHeight="1" outlineLevel="1" x14ac:dyDescent="0.25">
      <c r="A39" s="364"/>
      <c r="B39" s="1535"/>
      <c r="C39" s="1536"/>
      <c r="D39" s="1536"/>
      <c r="E39" s="1536"/>
      <c r="F39" s="1536"/>
      <c r="G39" s="1536"/>
      <c r="H39" s="1536"/>
      <c r="I39" s="1538"/>
      <c r="J39" s="1539"/>
      <c r="K39" s="1553"/>
      <c r="L39" s="1554"/>
      <c r="M39" s="1556"/>
      <c r="N39" s="1557"/>
      <c r="O39" s="38"/>
      <c r="P39" s="44"/>
      <c r="Q39" s="38"/>
      <c r="R39" s="38"/>
      <c r="S39" s="38"/>
      <c r="T39" s="297"/>
      <c r="U39" s="297"/>
      <c r="V39" s="297"/>
      <c r="W39" s="297"/>
      <c r="X39" s="379"/>
      <c r="Y39" s="379"/>
      <c r="Z39" s="379"/>
      <c r="AA39" s="622"/>
      <c r="AD39" s="38"/>
      <c r="AE39" s="38"/>
      <c r="AF39" s="38"/>
      <c r="AG39" s="38"/>
      <c r="AH39" s="38"/>
      <c r="AI39" s="38"/>
      <c r="AJ39" s="38"/>
      <c r="AK39" s="38"/>
      <c r="AL39" s="38"/>
      <c r="AM39" s="38"/>
      <c r="AN39" s="35"/>
      <c r="AO39" s="35"/>
      <c r="AP39" s="35"/>
      <c r="AQ39" s="35"/>
      <c r="AR39" s="35"/>
      <c r="AS39" s="35"/>
    </row>
    <row r="40" spans="1:45" ht="14.25" hidden="1" customHeight="1" outlineLevel="1" x14ac:dyDescent="0.25">
      <c r="A40" s="364"/>
      <c r="B40" s="1535" t="s">
        <v>522</v>
      </c>
      <c r="C40" s="1536"/>
      <c r="D40" s="1536"/>
      <c r="E40" s="1536"/>
      <c r="F40" s="1536"/>
      <c r="G40" s="1536"/>
      <c r="H40" s="1536"/>
      <c r="I40" s="1537" t="s">
        <v>107</v>
      </c>
      <c r="J40" s="1539"/>
      <c r="K40" s="1553"/>
      <c r="L40" s="1554">
        <f t="shared" ref="L40" si="17">J40*K40</f>
        <v>0</v>
      </c>
      <c r="M40" s="1555" t="str">
        <f>IFERROR(IF((VLOOKUP(N40,Überblick!$M$124:$N$132,2))="ja","ja","nein"),"")</f>
        <v/>
      </c>
      <c r="N40" s="1557"/>
      <c r="O40" s="38">
        <f t="shared" si="0"/>
        <v>0</v>
      </c>
      <c r="P40" s="44">
        <f t="shared" si="2"/>
        <v>0</v>
      </c>
      <c r="Q40" s="38">
        <f>IF(AND(N40&lt;1,I40="ja"),1,0)</f>
        <v>0</v>
      </c>
      <c r="R40" s="38"/>
      <c r="S40" s="38"/>
      <c r="T40" s="297"/>
      <c r="U40" s="297"/>
      <c r="V40" s="297"/>
      <c r="W40" s="297"/>
      <c r="X40" s="379"/>
      <c r="Y40" s="379"/>
      <c r="Z40" s="379"/>
      <c r="AA40" s="622"/>
      <c r="AD40" s="38"/>
      <c r="AE40" s="38"/>
      <c r="AF40" s="38"/>
      <c r="AG40" s="38"/>
      <c r="AH40" s="38"/>
      <c r="AI40" s="38"/>
      <c r="AJ40" s="38"/>
      <c r="AK40" s="38"/>
      <c r="AL40" s="38"/>
      <c r="AM40" s="38"/>
      <c r="AN40" s="35"/>
      <c r="AO40" s="35"/>
      <c r="AP40" s="35"/>
      <c r="AQ40" s="35"/>
      <c r="AR40" s="35"/>
      <c r="AS40" s="35"/>
    </row>
    <row r="41" spans="1:45" ht="14.25" hidden="1" customHeight="1" outlineLevel="1" x14ac:dyDescent="0.25">
      <c r="A41" s="364"/>
      <c r="B41" s="1535"/>
      <c r="C41" s="1536"/>
      <c r="D41" s="1536"/>
      <c r="E41" s="1536"/>
      <c r="F41" s="1536"/>
      <c r="G41" s="1536"/>
      <c r="H41" s="1536"/>
      <c r="I41" s="1538"/>
      <c r="J41" s="1539"/>
      <c r="K41" s="1553"/>
      <c r="L41" s="1554"/>
      <c r="M41" s="1556"/>
      <c r="N41" s="1557"/>
      <c r="O41" s="38"/>
      <c r="P41" s="44"/>
      <c r="Q41" s="38"/>
      <c r="R41" s="38"/>
      <c r="S41" s="38"/>
      <c r="T41" s="297"/>
      <c r="U41" s="297"/>
      <c r="V41" s="297"/>
      <c r="W41" s="297"/>
      <c r="X41" s="379"/>
      <c r="Y41" s="379"/>
      <c r="Z41" s="379"/>
      <c r="AA41" s="622"/>
      <c r="AD41" s="38"/>
      <c r="AE41" s="38"/>
      <c r="AF41" s="38"/>
      <c r="AG41" s="38"/>
      <c r="AH41" s="38"/>
      <c r="AI41" s="38"/>
      <c r="AJ41" s="38"/>
      <c r="AK41" s="38"/>
      <c r="AL41" s="38"/>
      <c r="AM41" s="38"/>
      <c r="AN41" s="35"/>
      <c r="AO41" s="35"/>
      <c r="AP41" s="35"/>
      <c r="AQ41" s="35"/>
      <c r="AR41" s="35"/>
      <c r="AS41" s="35"/>
    </row>
    <row r="42" spans="1:45" ht="14.25" hidden="1" customHeight="1" outlineLevel="1" x14ac:dyDescent="0.25">
      <c r="A42" s="364"/>
      <c r="B42" s="1535" t="s">
        <v>523</v>
      </c>
      <c r="C42" s="1536"/>
      <c r="D42" s="1536"/>
      <c r="E42" s="1536"/>
      <c r="F42" s="1536"/>
      <c r="G42" s="1536"/>
      <c r="H42" s="1536"/>
      <c r="I42" s="1537" t="s">
        <v>107</v>
      </c>
      <c r="J42" s="1539"/>
      <c r="K42" s="1553"/>
      <c r="L42" s="1554">
        <f t="shared" ref="L42" si="18">J42*K42</f>
        <v>0</v>
      </c>
      <c r="M42" s="1555" t="str">
        <f>IFERROR(IF((VLOOKUP(N42,Überblick!$M$124:$N$132,2))="ja","ja","nein"),"")</f>
        <v/>
      </c>
      <c r="N42" s="1557"/>
      <c r="O42" s="38">
        <f t="shared" si="0"/>
        <v>0</v>
      </c>
      <c r="P42" s="44">
        <f t="shared" si="2"/>
        <v>0</v>
      </c>
      <c r="Q42" s="38">
        <f>IF(AND(N42&lt;1,I42="ja"),1,0)</f>
        <v>0</v>
      </c>
      <c r="R42" s="38"/>
      <c r="S42" s="38"/>
      <c r="T42" s="297"/>
      <c r="U42" s="297"/>
      <c r="V42" s="297"/>
      <c r="W42" s="297"/>
      <c r="X42" s="379"/>
      <c r="Y42" s="379"/>
      <c r="Z42" s="379"/>
      <c r="AA42" s="622"/>
      <c r="AD42" s="38"/>
      <c r="AE42" s="38"/>
      <c r="AF42" s="38"/>
      <c r="AG42" s="38"/>
      <c r="AH42" s="38"/>
      <c r="AI42" s="38"/>
      <c r="AJ42" s="38"/>
      <c r="AK42" s="38"/>
      <c r="AL42" s="38"/>
      <c r="AM42" s="38"/>
      <c r="AN42" s="35"/>
      <c r="AO42" s="35"/>
      <c r="AP42" s="35"/>
      <c r="AQ42" s="35"/>
      <c r="AR42" s="35"/>
      <c r="AS42" s="35"/>
    </row>
    <row r="43" spans="1:45" ht="14.25" hidden="1" customHeight="1" outlineLevel="1" x14ac:dyDescent="0.25">
      <c r="A43" s="364"/>
      <c r="B43" s="1535"/>
      <c r="C43" s="1536"/>
      <c r="D43" s="1536"/>
      <c r="E43" s="1536"/>
      <c r="F43" s="1536"/>
      <c r="G43" s="1536"/>
      <c r="H43" s="1536"/>
      <c r="I43" s="1538"/>
      <c r="J43" s="1539"/>
      <c r="K43" s="1553"/>
      <c r="L43" s="1554"/>
      <c r="M43" s="1556"/>
      <c r="N43" s="1557"/>
      <c r="O43" s="38"/>
      <c r="P43" s="44"/>
      <c r="Q43" s="38"/>
      <c r="R43" s="38"/>
      <c r="S43" s="38"/>
      <c r="T43" s="297"/>
      <c r="U43" s="297"/>
      <c r="V43" s="297"/>
      <c r="W43" s="297"/>
      <c r="X43" s="379"/>
      <c r="Y43" s="379"/>
      <c r="Z43" s="379"/>
      <c r="AA43" s="622"/>
      <c r="AD43" s="38"/>
      <c r="AE43" s="38"/>
      <c r="AF43" s="38"/>
      <c r="AG43" s="38"/>
      <c r="AH43" s="38"/>
      <c r="AI43" s="38"/>
      <c r="AJ43" s="38"/>
      <c r="AK43" s="38"/>
      <c r="AL43" s="38"/>
      <c r="AM43" s="38"/>
      <c r="AN43" s="35"/>
      <c r="AO43" s="35"/>
      <c r="AP43" s="35"/>
      <c r="AQ43" s="35"/>
      <c r="AR43" s="35"/>
      <c r="AS43" s="35"/>
    </row>
    <row r="44" spans="1:45" ht="14.25" hidden="1" customHeight="1" outlineLevel="1" x14ac:dyDescent="0.25">
      <c r="A44" s="364"/>
      <c r="B44" s="1535" t="s">
        <v>524</v>
      </c>
      <c r="C44" s="1536"/>
      <c r="D44" s="1536"/>
      <c r="E44" s="1536"/>
      <c r="F44" s="1536"/>
      <c r="G44" s="1536"/>
      <c r="H44" s="1536"/>
      <c r="I44" s="1537" t="s">
        <v>107</v>
      </c>
      <c r="J44" s="1539"/>
      <c r="K44" s="1553"/>
      <c r="L44" s="1554">
        <f t="shared" ref="L44:L46" si="19">J44*K44</f>
        <v>0</v>
      </c>
      <c r="M44" s="1555" t="str">
        <f>IFERROR(IF((VLOOKUP(N44,Überblick!$M$124:$N$132,2))="ja","ja","nein"),"")</f>
        <v/>
      </c>
      <c r="N44" s="1557"/>
      <c r="O44" s="38">
        <f t="shared" si="0"/>
        <v>0</v>
      </c>
      <c r="P44" s="44">
        <f t="shared" si="2"/>
        <v>0</v>
      </c>
      <c r="Q44" s="38">
        <f>IF(AND(N44&lt;1,I44="ja"),1,0)</f>
        <v>0</v>
      </c>
      <c r="R44" s="38"/>
      <c r="S44" s="38"/>
      <c r="T44" s="297"/>
      <c r="U44" s="297"/>
      <c r="V44" s="297"/>
      <c r="W44" s="297"/>
      <c r="X44" s="379"/>
      <c r="Y44" s="379"/>
      <c r="Z44" s="379"/>
      <c r="AA44" s="622"/>
      <c r="AD44" s="38"/>
      <c r="AE44" s="38"/>
      <c r="AF44" s="38"/>
      <c r="AG44" s="38"/>
      <c r="AH44" s="38"/>
      <c r="AI44" s="38"/>
      <c r="AJ44" s="38"/>
      <c r="AK44" s="38"/>
      <c r="AL44" s="38"/>
      <c r="AM44" s="38"/>
      <c r="AN44" s="35"/>
      <c r="AO44" s="35"/>
      <c r="AP44" s="35"/>
      <c r="AQ44" s="35"/>
      <c r="AR44" s="35"/>
      <c r="AS44" s="35"/>
    </row>
    <row r="45" spans="1:45" ht="14.25" hidden="1" customHeight="1" outlineLevel="1" x14ac:dyDescent="0.25">
      <c r="A45" s="364"/>
      <c r="B45" s="1535"/>
      <c r="C45" s="1536"/>
      <c r="D45" s="1536"/>
      <c r="E45" s="1536"/>
      <c r="F45" s="1536"/>
      <c r="G45" s="1536"/>
      <c r="H45" s="1536"/>
      <c r="I45" s="1538"/>
      <c r="J45" s="1539"/>
      <c r="K45" s="1553"/>
      <c r="L45" s="1554"/>
      <c r="M45" s="1556"/>
      <c r="N45" s="1557"/>
      <c r="O45" s="38"/>
      <c r="P45" s="44"/>
      <c r="Q45" s="38"/>
      <c r="R45" s="38"/>
      <c r="S45" s="38"/>
      <c r="T45" s="297"/>
      <c r="U45" s="297"/>
      <c r="V45" s="297"/>
      <c r="W45" s="297"/>
      <c r="X45" s="379"/>
      <c r="Y45" s="379"/>
      <c r="Z45" s="379"/>
      <c r="AA45" s="622"/>
      <c r="AD45" s="38"/>
      <c r="AE45" s="38"/>
      <c r="AF45" s="38"/>
      <c r="AG45" s="38"/>
      <c r="AH45" s="38"/>
      <c r="AI45" s="38"/>
      <c r="AJ45" s="38"/>
      <c r="AK45" s="38"/>
      <c r="AL45" s="38"/>
      <c r="AM45" s="38"/>
      <c r="AN45" s="35"/>
      <c r="AO45" s="35"/>
      <c r="AP45" s="35"/>
      <c r="AQ45" s="35"/>
      <c r="AR45" s="35"/>
      <c r="AS45" s="35"/>
    </row>
    <row r="46" spans="1:45" ht="14.25" hidden="1" customHeight="1" outlineLevel="1" x14ac:dyDescent="0.25">
      <c r="A46" s="364"/>
      <c r="B46" s="1535" t="s">
        <v>525</v>
      </c>
      <c r="C46" s="1536"/>
      <c r="D46" s="1536"/>
      <c r="E46" s="1536"/>
      <c r="F46" s="1536"/>
      <c r="G46" s="1536"/>
      <c r="H46" s="1536"/>
      <c r="I46" s="1537" t="s">
        <v>107</v>
      </c>
      <c r="J46" s="1539"/>
      <c r="K46" s="1553"/>
      <c r="L46" s="1554">
        <f t="shared" si="19"/>
        <v>0</v>
      </c>
      <c r="M46" s="1555" t="str">
        <f>IFERROR(IF((VLOOKUP(N46,Überblick!$M$124:$N$132,2))="ja","ja","nein"),"")</f>
        <v/>
      </c>
      <c r="N46" s="1557"/>
      <c r="O46" s="38">
        <f t="shared" si="0"/>
        <v>0</v>
      </c>
      <c r="P46" s="44">
        <f t="shared" si="2"/>
        <v>0</v>
      </c>
      <c r="Q46" s="38">
        <f>IF(AND(N46&lt;1,I46="ja"),1,0)</f>
        <v>0</v>
      </c>
      <c r="R46" s="38"/>
      <c r="S46" s="38"/>
      <c r="T46" s="297"/>
      <c r="U46" s="297"/>
      <c r="V46" s="297"/>
      <c r="W46" s="297"/>
      <c r="X46" s="379"/>
      <c r="Y46" s="379"/>
      <c r="Z46" s="379"/>
      <c r="AA46" s="622"/>
      <c r="AD46" s="38"/>
      <c r="AE46" s="38"/>
      <c r="AF46" s="38"/>
      <c r="AG46" s="38"/>
      <c r="AH46" s="38"/>
      <c r="AI46" s="38"/>
      <c r="AJ46" s="38"/>
      <c r="AK46" s="38"/>
      <c r="AL46" s="38"/>
      <c r="AM46" s="38"/>
      <c r="AN46" s="35"/>
      <c r="AO46" s="35"/>
      <c r="AP46" s="35"/>
      <c r="AQ46" s="35"/>
      <c r="AR46" s="35"/>
      <c r="AS46" s="35"/>
    </row>
    <row r="47" spans="1:45" ht="14.25" hidden="1" customHeight="1" outlineLevel="1" x14ac:dyDescent="0.25">
      <c r="A47" s="364"/>
      <c r="B47" s="1561"/>
      <c r="C47" s="1562"/>
      <c r="D47" s="1562"/>
      <c r="E47" s="1562"/>
      <c r="F47" s="1562"/>
      <c r="G47" s="1562"/>
      <c r="H47" s="1562"/>
      <c r="I47" s="1538"/>
      <c r="J47" s="1550"/>
      <c r="K47" s="1563"/>
      <c r="L47" s="1564"/>
      <c r="M47" s="1556"/>
      <c r="N47" s="1592"/>
      <c r="O47" s="38"/>
      <c r="P47" s="44"/>
      <c r="Q47" s="38"/>
      <c r="R47" s="38"/>
      <c r="S47" s="38"/>
      <c r="T47" s="297"/>
      <c r="U47" s="297"/>
      <c r="V47" s="297"/>
      <c r="W47" s="297"/>
      <c r="X47" s="379"/>
      <c r="Y47" s="379"/>
      <c r="Z47" s="379"/>
      <c r="AA47" s="622"/>
      <c r="AD47" s="38"/>
      <c r="AE47" s="38"/>
      <c r="AF47" s="38"/>
      <c r="AG47" s="38"/>
      <c r="AH47" s="38"/>
      <c r="AI47" s="38"/>
      <c r="AJ47" s="38"/>
      <c r="AK47" s="38"/>
      <c r="AL47" s="38"/>
      <c r="AM47" s="38"/>
      <c r="AN47" s="35"/>
      <c r="AO47" s="35"/>
      <c r="AP47" s="35"/>
      <c r="AQ47" s="35"/>
      <c r="AR47" s="35"/>
      <c r="AS47" s="35"/>
    </row>
    <row r="48" spans="1:45" ht="14.25" hidden="1" customHeight="1" outlineLevel="1" x14ac:dyDescent="0.25">
      <c r="A48" s="364"/>
      <c r="B48" s="1535" t="s">
        <v>526</v>
      </c>
      <c r="C48" s="1536"/>
      <c r="D48" s="1536"/>
      <c r="E48" s="1536"/>
      <c r="F48" s="1536"/>
      <c r="G48" s="1536"/>
      <c r="H48" s="1536"/>
      <c r="I48" s="1537" t="s">
        <v>107</v>
      </c>
      <c r="J48" s="1539"/>
      <c r="K48" s="1553"/>
      <c r="L48" s="1554">
        <f t="shared" ref="L48" si="20">J48*K48</f>
        <v>0</v>
      </c>
      <c r="M48" s="1555" t="str">
        <f>IFERROR(IF((VLOOKUP(N48,Überblick!$M$124:$N$132,2))="ja","ja","nein"),"")</f>
        <v/>
      </c>
      <c r="N48" s="1557"/>
      <c r="O48" s="38">
        <f t="shared" ref="O48" si="21">IF(AND(I48="ja",J48=""),1,0)</f>
        <v>0</v>
      </c>
      <c r="P48" s="44">
        <f t="shared" si="2"/>
        <v>0</v>
      </c>
      <c r="Q48" s="38">
        <f>IF(AND(N48&lt;1,I48="ja"),1,0)</f>
        <v>0</v>
      </c>
      <c r="R48" s="38"/>
      <c r="S48" s="38"/>
      <c r="T48" s="297"/>
      <c r="U48" s="297"/>
      <c r="V48" s="297"/>
      <c r="W48" s="297"/>
      <c r="X48" s="379"/>
      <c r="Y48" s="379"/>
      <c r="Z48" s="379"/>
      <c r="AA48" s="622"/>
      <c r="AD48" s="38"/>
      <c r="AE48" s="38"/>
      <c r="AF48" s="38"/>
      <c r="AG48" s="38"/>
      <c r="AH48" s="38"/>
      <c r="AI48" s="38"/>
      <c r="AJ48" s="38"/>
      <c r="AK48" s="38"/>
      <c r="AL48" s="38"/>
      <c r="AM48" s="38"/>
      <c r="AN48" s="35"/>
      <c r="AO48" s="35"/>
      <c r="AP48" s="35"/>
      <c r="AQ48" s="35"/>
      <c r="AR48" s="35"/>
      <c r="AS48" s="35"/>
    </row>
    <row r="49" spans="1:45" ht="14.25" hidden="1" customHeight="1" outlineLevel="1" x14ac:dyDescent="0.25">
      <c r="A49" s="364"/>
      <c r="B49" s="1535"/>
      <c r="C49" s="1536"/>
      <c r="D49" s="1536"/>
      <c r="E49" s="1536"/>
      <c r="F49" s="1536"/>
      <c r="G49" s="1536"/>
      <c r="H49" s="1536"/>
      <c r="I49" s="1538"/>
      <c r="J49" s="1539"/>
      <c r="K49" s="1553"/>
      <c r="L49" s="1554"/>
      <c r="M49" s="1556"/>
      <c r="N49" s="1557"/>
      <c r="O49" s="38"/>
      <c r="P49" s="44"/>
      <c r="Q49" s="38"/>
      <c r="R49" s="38"/>
      <c r="S49" s="38"/>
      <c r="T49" s="297"/>
      <c r="U49" s="297"/>
      <c r="V49" s="297"/>
      <c r="W49" s="297"/>
      <c r="X49" s="379"/>
      <c r="Y49" s="379"/>
      <c r="Z49" s="379"/>
      <c r="AA49" s="622"/>
      <c r="AD49" s="38"/>
      <c r="AE49" s="38"/>
      <c r="AF49" s="38"/>
      <c r="AG49" s="38"/>
      <c r="AH49" s="38"/>
      <c r="AI49" s="38"/>
      <c r="AJ49" s="38"/>
      <c r="AK49" s="38"/>
      <c r="AL49" s="38"/>
      <c r="AM49" s="38"/>
      <c r="AN49" s="35"/>
      <c r="AO49" s="35"/>
      <c r="AP49" s="35"/>
      <c r="AQ49" s="35"/>
      <c r="AR49" s="35"/>
      <c r="AS49" s="35"/>
    </row>
    <row r="50" spans="1:45" ht="14.25" hidden="1" customHeight="1" outlineLevel="1" x14ac:dyDescent="0.25">
      <c r="A50" s="364"/>
      <c r="B50" s="1535" t="s">
        <v>527</v>
      </c>
      <c r="C50" s="1536"/>
      <c r="D50" s="1536"/>
      <c r="E50" s="1536"/>
      <c r="F50" s="1536"/>
      <c r="G50" s="1536"/>
      <c r="H50" s="1536"/>
      <c r="I50" s="1537" t="s">
        <v>107</v>
      </c>
      <c r="J50" s="1539"/>
      <c r="K50" s="1553"/>
      <c r="L50" s="1554">
        <f t="shared" ref="L50" si="22">J50*K50</f>
        <v>0</v>
      </c>
      <c r="M50" s="1555" t="str">
        <f>IFERROR(IF((VLOOKUP(N50,Überblick!$M$124:$N$132,2))="ja","ja","nein"),"")</f>
        <v/>
      </c>
      <c r="N50" s="1557"/>
      <c r="O50" s="38">
        <f t="shared" ref="O50" si="23">IF(AND(I50="ja",J50=""),1,0)</f>
        <v>0</v>
      </c>
      <c r="P50" s="44">
        <f t="shared" si="2"/>
        <v>0</v>
      </c>
      <c r="Q50" s="38">
        <f>IF(AND(N50&lt;1,I50="ja"),1,0)</f>
        <v>0</v>
      </c>
      <c r="R50" s="38"/>
      <c r="S50" s="38"/>
      <c r="T50" s="297"/>
      <c r="U50" s="297"/>
      <c r="V50" s="297"/>
      <c r="W50" s="297"/>
      <c r="X50" s="379"/>
      <c r="Y50" s="379"/>
      <c r="Z50" s="379"/>
      <c r="AA50" s="622"/>
      <c r="AD50" s="38"/>
      <c r="AE50" s="38"/>
      <c r="AF50" s="38"/>
      <c r="AG50" s="38"/>
      <c r="AH50" s="38"/>
      <c r="AI50" s="38"/>
      <c r="AJ50" s="38"/>
      <c r="AK50" s="38"/>
      <c r="AL50" s="38"/>
      <c r="AM50" s="38"/>
      <c r="AN50" s="35"/>
      <c r="AO50" s="35"/>
      <c r="AP50" s="35"/>
      <c r="AQ50" s="35"/>
      <c r="AR50" s="35"/>
      <c r="AS50" s="35"/>
    </row>
    <row r="51" spans="1:45" ht="14.25" hidden="1" customHeight="1" outlineLevel="1" x14ac:dyDescent="0.25">
      <c r="A51" s="364"/>
      <c r="B51" s="1535"/>
      <c r="C51" s="1536"/>
      <c r="D51" s="1536"/>
      <c r="E51" s="1536"/>
      <c r="F51" s="1536"/>
      <c r="G51" s="1536"/>
      <c r="H51" s="1536"/>
      <c r="I51" s="1538"/>
      <c r="J51" s="1539"/>
      <c r="K51" s="1553"/>
      <c r="L51" s="1554"/>
      <c r="M51" s="1556"/>
      <c r="N51" s="1557"/>
      <c r="O51" s="38"/>
      <c r="P51" s="44"/>
      <c r="Q51" s="38"/>
      <c r="R51" s="38"/>
      <c r="S51" s="38"/>
      <c r="T51" s="297"/>
      <c r="U51" s="297"/>
      <c r="V51" s="297"/>
      <c r="W51" s="297"/>
      <c r="X51" s="379"/>
      <c r="Y51" s="379"/>
      <c r="Z51" s="379"/>
      <c r="AA51" s="622"/>
      <c r="AD51" s="38"/>
      <c r="AE51" s="38"/>
      <c r="AF51" s="38"/>
      <c r="AG51" s="38"/>
      <c r="AH51" s="38"/>
      <c r="AI51" s="38"/>
      <c r="AJ51" s="38"/>
      <c r="AK51" s="38"/>
      <c r="AL51" s="38"/>
      <c r="AM51" s="38"/>
      <c r="AN51" s="35"/>
      <c r="AO51" s="35"/>
      <c r="AP51" s="35"/>
      <c r="AQ51" s="35"/>
      <c r="AR51" s="35"/>
      <c r="AS51" s="35"/>
    </row>
    <row r="52" spans="1:45" ht="14.25" hidden="1" customHeight="1" outlineLevel="1" x14ac:dyDescent="0.25">
      <c r="A52" s="364"/>
      <c r="B52" s="1535" t="s">
        <v>528</v>
      </c>
      <c r="C52" s="1536"/>
      <c r="D52" s="1536"/>
      <c r="E52" s="1536"/>
      <c r="F52" s="1536"/>
      <c r="G52" s="1536"/>
      <c r="H52" s="1536"/>
      <c r="I52" s="1537" t="s">
        <v>107</v>
      </c>
      <c r="J52" s="1539"/>
      <c r="K52" s="1553"/>
      <c r="L52" s="1554">
        <f t="shared" ref="L52" si="24">J52*K52</f>
        <v>0</v>
      </c>
      <c r="M52" s="1555" t="str">
        <f>IFERROR(IF((VLOOKUP(N52,Überblick!$M$124:$N$132,2))="ja","ja","nein"),"")</f>
        <v/>
      </c>
      <c r="N52" s="1557"/>
      <c r="O52" s="38">
        <f t="shared" ref="O52" si="25">IF(AND(I52="ja",J52=""),1,0)</f>
        <v>0</v>
      </c>
      <c r="P52" s="44">
        <f t="shared" si="2"/>
        <v>0</v>
      </c>
      <c r="Q52" s="38">
        <f>IF(AND(N52&lt;1,I52="ja"),1,0)</f>
        <v>0</v>
      </c>
      <c r="R52" s="38"/>
      <c r="S52" s="38"/>
      <c r="T52" s="297"/>
      <c r="U52" s="297"/>
      <c r="V52" s="297"/>
      <c r="W52" s="297"/>
      <c r="X52" s="379"/>
      <c r="Y52" s="379"/>
      <c r="Z52" s="379"/>
      <c r="AA52" s="622"/>
      <c r="AD52" s="38"/>
      <c r="AE52" s="38"/>
      <c r="AF52" s="38"/>
      <c r="AG52" s="38"/>
      <c r="AH52" s="38"/>
      <c r="AI52" s="38"/>
      <c r="AJ52" s="38"/>
      <c r="AK52" s="38"/>
      <c r="AL52" s="38"/>
      <c r="AM52" s="38"/>
      <c r="AN52" s="35"/>
      <c r="AO52" s="35"/>
      <c r="AP52" s="35"/>
      <c r="AQ52" s="35"/>
      <c r="AR52" s="35"/>
      <c r="AS52" s="35"/>
    </row>
    <row r="53" spans="1:45" ht="14.25" hidden="1" customHeight="1" outlineLevel="1" x14ac:dyDescent="0.25">
      <c r="A53" s="364"/>
      <c r="B53" s="1535"/>
      <c r="C53" s="1536"/>
      <c r="D53" s="1536"/>
      <c r="E53" s="1536"/>
      <c r="F53" s="1536"/>
      <c r="G53" s="1536"/>
      <c r="H53" s="1536"/>
      <c r="I53" s="1538"/>
      <c r="J53" s="1539"/>
      <c r="K53" s="1553"/>
      <c r="L53" s="1554"/>
      <c r="M53" s="1556"/>
      <c r="N53" s="1557"/>
      <c r="O53" s="38"/>
      <c r="P53" s="44"/>
      <c r="Q53" s="38"/>
      <c r="R53" s="38"/>
      <c r="S53" s="38"/>
      <c r="T53" s="297"/>
      <c r="U53" s="297"/>
      <c r="V53" s="297"/>
      <c r="W53" s="297"/>
      <c r="X53" s="379"/>
      <c r="Y53" s="379"/>
      <c r="Z53" s="379"/>
      <c r="AA53" s="622"/>
      <c r="AD53" s="38"/>
      <c r="AE53" s="38"/>
      <c r="AF53" s="38"/>
      <c r="AG53" s="38"/>
      <c r="AH53" s="38"/>
      <c r="AI53" s="38"/>
      <c r="AJ53" s="38"/>
      <c r="AK53" s="38"/>
      <c r="AL53" s="38"/>
      <c r="AM53" s="38"/>
      <c r="AN53" s="35"/>
      <c r="AO53" s="35"/>
      <c r="AP53" s="35"/>
      <c r="AQ53" s="35"/>
      <c r="AR53" s="35"/>
      <c r="AS53" s="35"/>
    </row>
    <row r="54" spans="1:45" ht="14.25" hidden="1" customHeight="1" outlineLevel="1" x14ac:dyDescent="0.25">
      <c r="A54" s="364"/>
      <c r="B54" s="1535" t="s">
        <v>529</v>
      </c>
      <c r="C54" s="1536"/>
      <c r="D54" s="1536"/>
      <c r="E54" s="1536"/>
      <c r="F54" s="1536"/>
      <c r="G54" s="1536"/>
      <c r="H54" s="1536"/>
      <c r="I54" s="1537" t="s">
        <v>107</v>
      </c>
      <c r="J54" s="1539"/>
      <c r="K54" s="1553"/>
      <c r="L54" s="1554">
        <f t="shared" ref="L54" si="26">J54*K54</f>
        <v>0</v>
      </c>
      <c r="M54" s="1555" t="str">
        <f>IFERROR(IF((VLOOKUP(N54,Überblick!$M$124:$N$132,2))="ja","ja","nein"),"")</f>
        <v/>
      </c>
      <c r="N54" s="1557"/>
      <c r="O54" s="38">
        <f t="shared" ref="O54" si="27">IF(AND(I54="ja",J54=""),1,0)</f>
        <v>0</v>
      </c>
      <c r="P54" s="44">
        <f t="shared" si="2"/>
        <v>0</v>
      </c>
      <c r="Q54" s="38">
        <f>IF(AND(N54&lt;1,I54="ja"),1,0)</f>
        <v>0</v>
      </c>
      <c r="R54" s="38"/>
      <c r="S54" s="38"/>
      <c r="T54" s="297"/>
      <c r="U54" s="297"/>
      <c r="V54" s="297"/>
      <c r="W54" s="297"/>
      <c r="X54" s="379"/>
      <c r="Y54" s="379"/>
      <c r="Z54" s="379"/>
      <c r="AA54" s="622"/>
      <c r="AD54" s="38"/>
      <c r="AE54" s="38"/>
      <c r="AF54" s="38"/>
      <c r="AG54" s="38"/>
      <c r="AH54" s="38"/>
      <c r="AI54" s="38"/>
      <c r="AJ54" s="38"/>
      <c r="AK54" s="38"/>
      <c r="AL54" s="38"/>
      <c r="AM54" s="38"/>
      <c r="AN54" s="35"/>
      <c r="AO54" s="35"/>
      <c r="AP54" s="35"/>
      <c r="AQ54" s="35"/>
      <c r="AR54" s="35"/>
      <c r="AS54" s="35"/>
    </row>
    <row r="55" spans="1:45" ht="14.25" hidden="1" customHeight="1" outlineLevel="1" x14ac:dyDescent="0.25">
      <c r="A55" s="364"/>
      <c r="B55" s="1561"/>
      <c r="C55" s="1562"/>
      <c r="D55" s="1562"/>
      <c r="E55" s="1562"/>
      <c r="F55" s="1562"/>
      <c r="G55" s="1562"/>
      <c r="H55" s="1562"/>
      <c r="I55" s="1538"/>
      <c r="J55" s="1550"/>
      <c r="K55" s="1563"/>
      <c r="L55" s="1564"/>
      <c r="M55" s="1556"/>
      <c r="N55" s="1592"/>
      <c r="O55" s="38"/>
      <c r="P55" s="44"/>
      <c r="Q55" s="38"/>
      <c r="R55" s="38"/>
      <c r="S55" s="38"/>
      <c r="T55" s="297"/>
      <c r="U55" s="297"/>
      <c r="V55" s="297"/>
      <c r="W55" s="297"/>
      <c r="X55" s="379"/>
      <c r="Y55" s="379"/>
      <c r="Z55" s="379"/>
      <c r="AA55" s="622"/>
      <c r="AD55" s="38"/>
      <c r="AE55" s="38"/>
      <c r="AF55" s="38"/>
      <c r="AG55" s="38"/>
      <c r="AH55" s="38"/>
      <c r="AI55" s="38"/>
      <c r="AJ55" s="38"/>
      <c r="AK55" s="38"/>
      <c r="AL55" s="38"/>
      <c r="AM55" s="38"/>
      <c r="AN55" s="35"/>
      <c r="AO55" s="35"/>
      <c r="AP55" s="35"/>
      <c r="AQ55" s="35"/>
      <c r="AR55" s="35"/>
      <c r="AS55" s="35"/>
    </row>
    <row r="56" spans="1:45" ht="14.25" hidden="1" customHeight="1" outlineLevel="1" x14ac:dyDescent="0.25">
      <c r="A56" s="364"/>
      <c r="B56" s="1535" t="s">
        <v>524</v>
      </c>
      <c r="C56" s="1536"/>
      <c r="D56" s="1536"/>
      <c r="E56" s="1536"/>
      <c r="F56" s="1536"/>
      <c r="G56" s="1536"/>
      <c r="H56" s="1536"/>
      <c r="I56" s="1537" t="s">
        <v>107</v>
      </c>
      <c r="J56" s="1539"/>
      <c r="K56" s="1553"/>
      <c r="L56" s="1554">
        <f t="shared" ref="L56" si="28">J56*K56</f>
        <v>0</v>
      </c>
      <c r="M56" s="1555" t="str">
        <f>IFERROR(IF((VLOOKUP(N56,Überblick!$M$124:$N$132,2))="ja","ja","nein"),"")</f>
        <v/>
      </c>
      <c r="N56" s="1557"/>
      <c r="O56" s="38">
        <f t="shared" ref="O56" si="29">IF(AND(I56="ja",J56=""),1,0)</f>
        <v>0</v>
      </c>
      <c r="P56" s="44">
        <f t="shared" si="2"/>
        <v>0</v>
      </c>
      <c r="Q56" s="38">
        <f>IF(AND(N56&lt;1,I56="ja"),1,0)</f>
        <v>0</v>
      </c>
      <c r="R56" s="38"/>
      <c r="S56" s="38"/>
      <c r="T56" s="297"/>
      <c r="U56" s="297"/>
      <c r="V56" s="297"/>
      <c r="W56" s="297"/>
      <c r="X56" s="379"/>
      <c r="Y56" s="379"/>
      <c r="Z56" s="379"/>
      <c r="AA56" s="622"/>
      <c r="AD56" s="38"/>
      <c r="AE56" s="38"/>
      <c r="AF56" s="38"/>
      <c r="AG56" s="38"/>
      <c r="AH56" s="38"/>
      <c r="AI56" s="38"/>
      <c r="AJ56" s="38"/>
      <c r="AK56" s="38"/>
      <c r="AL56" s="38"/>
      <c r="AM56" s="38"/>
      <c r="AN56" s="35"/>
      <c r="AO56" s="35"/>
      <c r="AP56" s="35"/>
      <c r="AQ56" s="35"/>
      <c r="AR56" s="35"/>
      <c r="AS56" s="35"/>
    </row>
    <row r="57" spans="1:45" ht="14.25" hidden="1" customHeight="1" outlineLevel="1" x14ac:dyDescent="0.25">
      <c r="A57" s="364"/>
      <c r="B57" s="1535"/>
      <c r="C57" s="1536"/>
      <c r="D57" s="1536"/>
      <c r="E57" s="1536"/>
      <c r="F57" s="1536"/>
      <c r="G57" s="1536"/>
      <c r="H57" s="1536"/>
      <c r="I57" s="1538"/>
      <c r="J57" s="1539"/>
      <c r="K57" s="1553"/>
      <c r="L57" s="1554"/>
      <c r="M57" s="1556"/>
      <c r="N57" s="1557"/>
      <c r="O57" s="38"/>
      <c r="P57" s="44"/>
      <c r="Q57" s="38"/>
      <c r="R57" s="38"/>
      <c r="S57" s="38"/>
      <c r="T57" s="297"/>
      <c r="U57" s="297"/>
      <c r="V57" s="297"/>
      <c r="W57" s="297"/>
      <c r="X57" s="379"/>
      <c r="Y57" s="379"/>
      <c r="Z57" s="379"/>
      <c r="AA57" s="622"/>
      <c r="AD57" s="38"/>
      <c r="AE57" s="38"/>
      <c r="AF57" s="38"/>
      <c r="AG57" s="38"/>
      <c r="AH57" s="38"/>
      <c r="AI57" s="38"/>
      <c r="AJ57" s="38"/>
      <c r="AK57" s="38"/>
      <c r="AL57" s="38"/>
      <c r="AM57" s="38"/>
      <c r="AN57" s="35"/>
      <c r="AO57" s="35"/>
      <c r="AP57" s="35"/>
      <c r="AQ57" s="35"/>
      <c r="AR57" s="35"/>
      <c r="AS57" s="35"/>
    </row>
    <row r="58" spans="1:45" ht="14.25" hidden="1" customHeight="1" outlineLevel="1" x14ac:dyDescent="0.25">
      <c r="A58" s="364"/>
      <c r="B58" s="1535" t="s">
        <v>525</v>
      </c>
      <c r="C58" s="1536"/>
      <c r="D58" s="1536"/>
      <c r="E58" s="1536"/>
      <c r="F58" s="1536"/>
      <c r="G58" s="1536"/>
      <c r="H58" s="1536"/>
      <c r="I58" s="1537" t="s">
        <v>107</v>
      </c>
      <c r="J58" s="1539"/>
      <c r="K58" s="1553"/>
      <c r="L58" s="1554">
        <f t="shared" ref="L58" si="30">J58*K58</f>
        <v>0</v>
      </c>
      <c r="M58" s="1555" t="str">
        <f>IFERROR(IF((VLOOKUP(N58,Überblick!$M$124:$N$132,2))="ja","ja","nein"),"")</f>
        <v/>
      </c>
      <c r="N58" s="1557"/>
      <c r="O58" s="38">
        <f t="shared" ref="O58" si="31">IF(AND(I58="ja",J58=""),1,0)</f>
        <v>0</v>
      </c>
      <c r="P58" s="44">
        <f t="shared" si="2"/>
        <v>0</v>
      </c>
      <c r="Q58" s="38">
        <f>IF(AND(N58&lt;1,I58="ja"),1,0)</f>
        <v>0</v>
      </c>
      <c r="R58" s="38"/>
      <c r="S58" s="38"/>
      <c r="T58" s="297"/>
      <c r="U58" s="297"/>
      <c r="V58" s="297"/>
      <c r="W58" s="297"/>
      <c r="X58" s="379"/>
      <c r="Y58" s="379"/>
      <c r="Z58" s="379"/>
      <c r="AA58" s="622"/>
      <c r="AD58" s="38"/>
      <c r="AE58" s="38"/>
      <c r="AF58" s="38"/>
      <c r="AG58" s="38"/>
      <c r="AH58" s="38"/>
      <c r="AI58" s="38"/>
      <c r="AJ58" s="38"/>
      <c r="AK58" s="38"/>
      <c r="AL58" s="38"/>
      <c r="AM58" s="38"/>
      <c r="AN58" s="35"/>
      <c r="AO58" s="35"/>
      <c r="AP58" s="35"/>
      <c r="AQ58" s="35"/>
      <c r="AR58" s="35"/>
      <c r="AS58" s="35"/>
    </row>
    <row r="59" spans="1:45" ht="14.25" hidden="1" customHeight="1" outlineLevel="1" x14ac:dyDescent="0.25">
      <c r="A59" s="364"/>
      <c r="B59" s="1561"/>
      <c r="C59" s="1562"/>
      <c r="D59" s="1562"/>
      <c r="E59" s="1562"/>
      <c r="F59" s="1562"/>
      <c r="G59" s="1562"/>
      <c r="H59" s="1562"/>
      <c r="I59" s="1538"/>
      <c r="J59" s="1550"/>
      <c r="K59" s="1563"/>
      <c r="L59" s="1564"/>
      <c r="M59" s="1556"/>
      <c r="N59" s="1592"/>
      <c r="O59" s="38"/>
      <c r="P59" s="44"/>
      <c r="Q59" s="38"/>
      <c r="R59" s="38"/>
      <c r="S59" s="38"/>
      <c r="T59" s="297"/>
      <c r="U59" s="297"/>
      <c r="V59" s="297"/>
      <c r="W59" s="297"/>
      <c r="X59" s="379"/>
      <c r="Y59" s="379"/>
      <c r="Z59" s="379"/>
      <c r="AA59" s="622"/>
      <c r="AD59" s="38"/>
      <c r="AE59" s="38"/>
      <c r="AF59" s="38"/>
      <c r="AG59" s="38"/>
      <c r="AH59" s="38"/>
      <c r="AI59" s="38"/>
      <c r="AJ59" s="38"/>
      <c r="AK59" s="38"/>
      <c r="AL59" s="38"/>
      <c r="AM59" s="38"/>
      <c r="AN59" s="35"/>
      <c r="AO59" s="35"/>
      <c r="AP59" s="35"/>
      <c r="AQ59" s="35"/>
      <c r="AR59" s="35"/>
      <c r="AS59" s="35"/>
    </row>
    <row r="60" spans="1:45" ht="14.25" hidden="1" customHeight="1" outlineLevel="1" x14ac:dyDescent="0.25">
      <c r="A60" s="364"/>
      <c r="B60" s="1535" t="s">
        <v>530</v>
      </c>
      <c r="C60" s="1536"/>
      <c r="D60" s="1536"/>
      <c r="E60" s="1536"/>
      <c r="F60" s="1536"/>
      <c r="G60" s="1536"/>
      <c r="H60" s="1536"/>
      <c r="I60" s="1537" t="s">
        <v>107</v>
      </c>
      <c r="J60" s="1539"/>
      <c r="K60" s="1553"/>
      <c r="L60" s="1554">
        <f t="shared" ref="L60" si="32">J60*K60</f>
        <v>0</v>
      </c>
      <c r="M60" s="1555" t="str">
        <f>IFERROR(IF((VLOOKUP(N60,Überblick!$M$124:$N$132,2))="ja","ja","nein"),"")</f>
        <v/>
      </c>
      <c r="N60" s="1557"/>
      <c r="O60" s="38">
        <f t="shared" ref="O60" si="33">IF(AND(I60="ja",J60=""),1,0)</f>
        <v>0</v>
      </c>
      <c r="P60" s="44">
        <f t="shared" si="2"/>
        <v>0</v>
      </c>
      <c r="Q60" s="38">
        <f>IF(AND(N60&lt;1,I60="ja"),1,0)</f>
        <v>0</v>
      </c>
      <c r="R60" s="38"/>
      <c r="S60" s="38"/>
      <c r="T60" s="297"/>
      <c r="U60" s="297"/>
      <c r="V60" s="297"/>
      <c r="W60" s="297"/>
      <c r="X60" s="379"/>
      <c r="Y60" s="379"/>
      <c r="Z60" s="379"/>
      <c r="AA60" s="622"/>
      <c r="AD60" s="38"/>
      <c r="AE60" s="38"/>
      <c r="AF60" s="38"/>
      <c r="AG60" s="38"/>
      <c r="AH60" s="38"/>
      <c r="AI60" s="38"/>
      <c r="AJ60" s="38"/>
      <c r="AK60" s="38"/>
      <c r="AL60" s="38"/>
      <c r="AM60" s="38"/>
      <c r="AN60" s="35"/>
      <c r="AO60" s="35"/>
      <c r="AP60" s="35"/>
      <c r="AQ60" s="35"/>
      <c r="AR60" s="35"/>
      <c r="AS60" s="35"/>
    </row>
    <row r="61" spans="1:45" ht="14.25" hidden="1" customHeight="1" outlineLevel="1" x14ac:dyDescent="0.25">
      <c r="A61" s="364"/>
      <c r="B61" s="1535"/>
      <c r="C61" s="1536"/>
      <c r="D61" s="1536"/>
      <c r="E61" s="1536"/>
      <c r="F61" s="1536"/>
      <c r="G61" s="1536"/>
      <c r="H61" s="1536"/>
      <c r="I61" s="1538"/>
      <c r="J61" s="1539"/>
      <c r="K61" s="1553"/>
      <c r="L61" s="1554"/>
      <c r="M61" s="1556"/>
      <c r="N61" s="1557"/>
      <c r="O61" s="38"/>
      <c r="P61" s="44"/>
      <c r="Q61" s="38"/>
      <c r="R61" s="38"/>
      <c r="S61" s="38"/>
      <c r="T61" s="297"/>
      <c r="U61" s="297"/>
      <c r="V61" s="297"/>
      <c r="W61" s="297"/>
      <c r="X61" s="379"/>
      <c r="Y61" s="379"/>
      <c r="Z61" s="379"/>
      <c r="AA61" s="622"/>
      <c r="AD61" s="38"/>
      <c r="AE61" s="38"/>
      <c r="AF61" s="38"/>
      <c r="AG61" s="38"/>
      <c r="AH61" s="38"/>
      <c r="AI61" s="38"/>
      <c r="AJ61" s="38"/>
      <c r="AK61" s="38"/>
      <c r="AL61" s="38"/>
      <c r="AM61" s="38"/>
      <c r="AN61" s="35"/>
      <c r="AO61" s="35"/>
      <c r="AP61" s="35"/>
      <c r="AQ61" s="35"/>
      <c r="AR61" s="35"/>
      <c r="AS61" s="35"/>
    </row>
    <row r="62" spans="1:45" ht="14.25" hidden="1" customHeight="1" outlineLevel="1" x14ac:dyDescent="0.25">
      <c r="A62" s="364"/>
      <c r="B62" s="1548"/>
      <c r="C62" s="1549"/>
      <c r="D62" s="1549"/>
      <c r="E62" s="1549"/>
      <c r="F62" s="1549"/>
      <c r="G62" s="1549"/>
      <c r="H62" s="1549"/>
      <c r="I62" s="1537" t="s">
        <v>107</v>
      </c>
      <c r="J62" s="1539"/>
      <c r="K62" s="1553"/>
      <c r="L62" s="1554">
        <f t="shared" ref="L62" si="34">J62*K62</f>
        <v>0</v>
      </c>
      <c r="M62" s="1555" t="str">
        <f>IFERROR(IF((VLOOKUP(N62,Überblick!$M$124:$N$132,2))="ja","ja","nein"),"")</f>
        <v/>
      </c>
      <c r="N62" s="1557"/>
      <c r="O62" s="38">
        <f t="shared" ref="O62" si="35">IF(AND(I62="ja",J62=""),1,0)</f>
        <v>0</v>
      </c>
      <c r="P62" s="44">
        <f t="shared" si="2"/>
        <v>0</v>
      </c>
      <c r="Q62" s="38">
        <f>IF(AND(N62&lt;1,I62="ja"),1,0)</f>
        <v>0</v>
      </c>
      <c r="R62" s="38"/>
      <c r="S62" s="38"/>
      <c r="T62" s="297"/>
      <c r="U62" s="297"/>
      <c r="V62" s="297"/>
      <c r="W62" s="297"/>
      <c r="X62" s="379"/>
      <c r="Y62" s="379"/>
      <c r="Z62" s="379"/>
      <c r="AA62" s="622"/>
      <c r="AD62" s="38"/>
      <c r="AE62" s="38"/>
      <c r="AF62" s="38"/>
      <c r="AG62" s="38"/>
      <c r="AH62" s="38"/>
      <c r="AI62" s="38"/>
      <c r="AJ62" s="38"/>
      <c r="AK62" s="38"/>
      <c r="AL62" s="38"/>
      <c r="AM62" s="38"/>
      <c r="AN62" s="35"/>
      <c r="AO62" s="35"/>
      <c r="AP62" s="35"/>
      <c r="AQ62" s="35"/>
      <c r="AR62" s="35"/>
      <c r="AS62" s="35"/>
    </row>
    <row r="63" spans="1:45" ht="14.25" hidden="1" customHeight="1" outlineLevel="1" x14ac:dyDescent="0.25">
      <c r="A63" s="364"/>
      <c r="B63" s="1535"/>
      <c r="C63" s="1536"/>
      <c r="D63" s="1536"/>
      <c r="E63" s="1536"/>
      <c r="F63" s="1536"/>
      <c r="G63" s="1536"/>
      <c r="H63" s="1536"/>
      <c r="I63" s="1538"/>
      <c r="J63" s="1539"/>
      <c r="K63" s="1553"/>
      <c r="L63" s="1554"/>
      <c r="M63" s="1556"/>
      <c r="N63" s="1557"/>
      <c r="O63" s="38"/>
      <c r="P63" s="44"/>
      <c r="Q63" s="38"/>
      <c r="R63" s="38"/>
      <c r="S63" s="38"/>
      <c r="T63" s="297"/>
      <c r="U63" s="297"/>
      <c r="V63" s="297"/>
      <c r="W63" s="297"/>
      <c r="X63" s="379"/>
      <c r="Y63" s="379"/>
      <c r="Z63" s="379"/>
      <c r="AA63" s="622"/>
      <c r="AD63" s="38"/>
      <c r="AE63" s="38"/>
      <c r="AF63" s="38"/>
      <c r="AG63" s="38"/>
      <c r="AH63" s="38"/>
      <c r="AI63" s="38"/>
      <c r="AJ63" s="38"/>
      <c r="AK63" s="38"/>
      <c r="AL63" s="38"/>
      <c r="AM63" s="38"/>
      <c r="AN63" s="35"/>
      <c r="AO63" s="35"/>
      <c r="AP63" s="35"/>
      <c r="AQ63" s="35"/>
      <c r="AR63" s="35"/>
      <c r="AS63" s="35"/>
    </row>
    <row r="64" spans="1:45" ht="14.25" hidden="1" customHeight="1" outlineLevel="1" x14ac:dyDescent="0.25">
      <c r="A64" s="364"/>
      <c r="B64" s="1548"/>
      <c r="C64" s="1549"/>
      <c r="D64" s="1549"/>
      <c r="E64" s="1549"/>
      <c r="F64" s="1549"/>
      <c r="G64" s="1549"/>
      <c r="H64" s="1549"/>
      <c r="I64" s="1537" t="s">
        <v>107</v>
      </c>
      <c r="J64" s="1539"/>
      <c r="K64" s="1553"/>
      <c r="L64" s="1554">
        <f t="shared" ref="L64" si="36">J64*K64</f>
        <v>0</v>
      </c>
      <c r="M64" s="1555" t="str">
        <f>IFERROR(IF((VLOOKUP(N64,Überblick!$M$124:$N$132,2))="ja","ja","nein"),"")</f>
        <v/>
      </c>
      <c r="N64" s="1557"/>
      <c r="O64" s="38">
        <f t="shared" ref="O64" si="37">IF(AND(I64="ja",J64=""),1,0)</f>
        <v>0</v>
      </c>
      <c r="P64" s="44">
        <f t="shared" si="2"/>
        <v>0</v>
      </c>
      <c r="Q64" s="38">
        <f>IF(AND(N64&lt;1,I64="ja"),1,0)</f>
        <v>0</v>
      </c>
      <c r="R64" s="38"/>
      <c r="S64" s="38"/>
      <c r="T64" s="297"/>
      <c r="U64" s="297"/>
      <c r="V64" s="297"/>
      <c r="W64" s="297"/>
      <c r="X64" s="379"/>
      <c r="Y64" s="379"/>
      <c r="Z64" s="379"/>
      <c r="AA64" s="622"/>
      <c r="AD64" s="38"/>
      <c r="AE64" s="38"/>
      <c r="AF64" s="38"/>
      <c r="AG64" s="38"/>
      <c r="AH64" s="38"/>
      <c r="AI64" s="38"/>
      <c r="AJ64" s="38"/>
      <c r="AK64" s="38"/>
      <c r="AL64" s="38"/>
      <c r="AM64" s="38"/>
      <c r="AN64" s="35"/>
      <c r="AO64" s="35"/>
      <c r="AP64" s="35"/>
      <c r="AQ64" s="35"/>
      <c r="AR64" s="35"/>
      <c r="AS64" s="35"/>
    </row>
    <row r="65" spans="1:45" ht="14.25" hidden="1" customHeight="1" outlineLevel="1" x14ac:dyDescent="0.25">
      <c r="A65" s="364"/>
      <c r="B65" s="1535"/>
      <c r="C65" s="1536"/>
      <c r="D65" s="1536"/>
      <c r="E65" s="1536"/>
      <c r="F65" s="1536"/>
      <c r="G65" s="1536"/>
      <c r="H65" s="1536"/>
      <c r="I65" s="1538"/>
      <c r="J65" s="1539"/>
      <c r="K65" s="1553"/>
      <c r="L65" s="1554"/>
      <c r="M65" s="1556"/>
      <c r="N65" s="1557"/>
      <c r="O65" s="38"/>
      <c r="P65" s="44"/>
      <c r="Q65" s="38"/>
      <c r="R65" s="38"/>
      <c r="S65" s="38"/>
      <c r="T65" s="297"/>
      <c r="U65" s="297"/>
      <c r="V65" s="297"/>
      <c r="W65" s="297"/>
      <c r="X65" s="379"/>
      <c r="Y65" s="379"/>
      <c r="Z65" s="379"/>
      <c r="AA65" s="622"/>
      <c r="AD65" s="38"/>
      <c r="AE65" s="38"/>
      <c r="AF65" s="38"/>
      <c r="AG65" s="38"/>
      <c r="AH65" s="38"/>
      <c r="AI65" s="38"/>
      <c r="AJ65" s="38"/>
      <c r="AK65" s="38"/>
      <c r="AL65" s="38"/>
      <c r="AM65" s="38"/>
      <c r="AN65" s="35"/>
      <c r="AO65" s="35"/>
      <c r="AP65" s="35"/>
      <c r="AQ65" s="35"/>
      <c r="AR65" s="35"/>
      <c r="AS65" s="35"/>
    </row>
    <row r="66" spans="1:45" ht="14.25" hidden="1" customHeight="1" outlineLevel="1" x14ac:dyDescent="0.25">
      <c r="A66" s="364"/>
      <c r="B66" s="1548"/>
      <c r="C66" s="1549"/>
      <c r="D66" s="1549"/>
      <c r="E66" s="1549"/>
      <c r="F66" s="1549"/>
      <c r="G66" s="1549"/>
      <c r="H66" s="1549"/>
      <c r="I66" s="1537" t="s">
        <v>107</v>
      </c>
      <c r="J66" s="1539"/>
      <c r="K66" s="1553"/>
      <c r="L66" s="1554">
        <f t="shared" ref="L66" si="38">J66*K66</f>
        <v>0</v>
      </c>
      <c r="M66" s="1555" t="str">
        <f>IFERROR(IF((VLOOKUP(N66,Überblick!$M$124:$N$132,2))="ja","ja","nein"),"")</f>
        <v/>
      </c>
      <c r="N66" s="1557"/>
      <c r="O66" s="38">
        <f t="shared" ref="O66" si="39">IF(AND(I66="ja",J66=""),1,0)</f>
        <v>0</v>
      </c>
      <c r="P66" s="44">
        <f t="shared" si="2"/>
        <v>0</v>
      </c>
      <c r="Q66" s="38">
        <f>IF(AND(N66&lt;1,I66="ja"),1,0)</f>
        <v>0</v>
      </c>
      <c r="R66" s="38"/>
      <c r="S66" s="38"/>
      <c r="T66" s="297"/>
      <c r="U66" s="297"/>
      <c r="V66" s="297"/>
      <c r="W66" s="297"/>
      <c r="X66" s="379"/>
      <c r="Y66" s="379"/>
      <c r="Z66" s="379"/>
      <c r="AA66" s="622"/>
      <c r="AD66" s="38"/>
      <c r="AE66" s="38"/>
      <c r="AF66" s="38"/>
      <c r="AG66" s="38"/>
      <c r="AH66" s="38"/>
      <c r="AI66" s="38"/>
      <c r="AJ66" s="38"/>
      <c r="AK66" s="38"/>
      <c r="AL66" s="38"/>
      <c r="AM66" s="38"/>
      <c r="AN66" s="35"/>
      <c r="AO66" s="35"/>
      <c r="AP66" s="35"/>
      <c r="AQ66" s="35"/>
      <c r="AR66" s="35"/>
      <c r="AS66" s="35"/>
    </row>
    <row r="67" spans="1:45" ht="14.25" hidden="1" customHeight="1" outlineLevel="1" x14ac:dyDescent="0.25">
      <c r="A67" s="364"/>
      <c r="B67" s="1535"/>
      <c r="C67" s="1536"/>
      <c r="D67" s="1536"/>
      <c r="E67" s="1536"/>
      <c r="F67" s="1536"/>
      <c r="G67" s="1536"/>
      <c r="H67" s="1536"/>
      <c r="I67" s="1538"/>
      <c r="J67" s="1550"/>
      <c r="K67" s="1563"/>
      <c r="L67" s="1564"/>
      <c r="M67" s="1556"/>
      <c r="N67" s="1592"/>
      <c r="O67" s="38"/>
      <c r="P67" s="44"/>
      <c r="Q67" s="38"/>
      <c r="R67" s="38"/>
      <c r="S67" s="38"/>
      <c r="T67" s="297"/>
      <c r="U67" s="297"/>
      <c r="V67" s="297"/>
      <c r="W67" s="297"/>
      <c r="X67" s="379"/>
      <c r="Y67" s="379"/>
      <c r="Z67" s="379"/>
      <c r="AA67" s="622"/>
      <c r="AD67" s="38"/>
      <c r="AE67" s="38"/>
      <c r="AF67" s="38"/>
      <c r="AG67" s="38"/>
      <c r="AH67" s="38"/>
      <c r="AI67" s="38"/>
      <c r="AJ67" s="38"/>
      <c r="AK67" s="38"/>
      <c r="AL67" s="38"/>
      <c r="AM67" s="38"/>
      <c r="AN67" s="35"/>
      <c r="AO67" s="35"/>
      <c r="AP67" s="35"/>
      <c r="AQ67" s="35"/>
      <c r="AR67" s="35"/>
      <c r="AS67" s="35"/>
    </row>
    <row r="68" spans="1:45" ht="14.25" hidden="1" customHeight="1" outlineLevel="1" x14ac:dyDescent="0.25">
      <c r="A68" s="364"/>
      <c r="B68" s="1535"/>
      <c r="C68" s="1536"/>
      <c r="D68" s="1536"/>
      <c r="E68" s="1536"/>
      <c r="F68" s="1536"/>
      <c r="G68" s="1536"/>
      <c r="H68" s="1536"/>
      <c r="I68" s="1542" t="s">
        <v>107</v>
      </c>
      <c r="J68" s="1539"/>
      <c r="K68" s="1553"/>
      <c r="L68" s="1554">
        <f t="shared" ref="L68" si="40">J68*K68</f>
        <v>0</v>
      </c>
      <c r="M68" s="1627" t="str">
        <f>IFERROR(IF((VLOOKUP(N68,Überblick!$M$124:$N$132,2))="ja","ja","nein"),"")</f>
        <v/>
      </c>
      <c r="N68" s="1557"/>
      <c r="O68" s="38">
        <f t="shared" ref="O68" si="41">IF(AND(I68="ja",J68=""),1,0)</f>
        <v>0</v>
      </c>
      <c r="P68" s="44">
        <f t="shared" si="2"/>
        <v>0</v>
      </c>
      <c r="Q68" s="38">
        <f>IF(AND(N68&lt;1,I68="ja"),1,0)</f>
        <v>0</v>
      </c>
      <c r="R68" s="38"/>
      <c r="S68" s="38"/>
      <c r="T68" s="297"/>
      <c r="U68" s="297"/>
      <c r="V68" s="297"/>
      <c r="W68" s="297"/>
      <c r="X68" s="379"/>
      <c r="Y68" s="379"/>
      <c r="Z68" s="379"/>
      <c r="AA68" s="622"/>
      <c r="AD68" s="38"/>
      <c r="AE68" s="38"/>
      <c r="AF68" s="38"/>
      <c r="AG68" s="38"/>
      <c r="AH68" s="38"/>
      <c r="AI68" s="38"/>
      <c r="AJ68" s="38"/>
      <c r="AK68" s="38"/>
      <c r="AL68" s="38"/>
      <c r="AM68" s="38"/>
      <c r="AN68" s="35"/>
      <c r="AO68" s="35"/>
      <c r="AP68" s="35"/>
      <c r="AQ68" s="35"/>
      <c r="AR68" s="35"/>
      <c r="AS68" s="35"/>
    </row>
    <row r="69" spans="1:45" ht="14.25" hidden="1" customHeight="1" outlineLevel="1" thickBot="1" x14ac:dyDescent="0.3">
      <c r="A69" s="364"/>
      <c r="B69" s="1540"/>
      <c r="C69" s="1541"/>
      <c r="D69" s="1541"/>
      <c r="E69" s="1541"/>
      <c r="F69" s="1541"/>
      <c r="G69" s="1541"/>
      <c r="H69" s="1541"/>
      <c r="I69" s="1543"/>
      <c r="J69" s="1544"/>
      <c r="K69" s="1618"/>
      <c r="L69" s="1626"/>
      <c r="M69" s="1628"/>
      <c r="N69" s="1629"/>
      <c r="O69" s="38"/>
      <c r="P69" s="44"/>
      <c r="Q69" s="38"/>
      <c r="R69" s="38"/>
      <c r="S69" s="38"/>
      <c r="T69" s="297"/>
      <c r="U69" s="297"/>
      <c r="V69" s="297"/>
      <c r="W69" s="297"/>
      <c r="X69" s="379"/>
      <c r="Y69" s="379"/>
      <c r="Z69" s="379"/>
      <c r="AA69" s="622"/>
      <c r="AD69" s="38"/>
      <c r="AE69" s="38"/>
      <c r="AF69" s="38"/>
      <c r="AG69" s="38"/>
      <c r="AH69" s="38"/>
      <c r="AI69" s="38"/>
      <c r="AJ69" s="38"/>
      <c r="AK69" s="38"/>
      <c r="AL69" s="38"/>
      <c r="AM69" s="38"/>
      <c r="AN69" s="35"/>
      <c r="AO69" s="35"/>
      <c r="AP69" s="35"/>
      <c r="AQ69" s="35"/>
      <c r="AR69" s="35"/>
      <c r="AS69" s="35"/>
    </row>
    <row r="70" spans="1:45" ht="14.25" customHeight="1" collapsed="1" thickBot="1" x14ac:dyDescent="0.3">
      <c r="A70" s="364"/>
      <c r="B70" s="143"/>
      <c r="C70" s="143"/>
      <c r="D70" s="143"/>
      <c r="E70" s="143"/>
      <c r="F70" s="143"/>
      <c r="G70" s="143"/>
      <c r="H70" s="143"/>
      <c r="I70" s="140"/>
      <c r="J70" s="305"/>
      <c r="K70" s="306"/>
      <c r="L70" s="58">
        <f>SUM(L8:L69)</f>
        <v>0</v>
      </c>
      <c r="M70" s="99"/>
      <c r="N70" s="96">
        <v>1</v>
      </c>
      <c r="O70" s="38"/>
      <c r="P70" s="44"/>
      <c r="Q70" s="38"/>
      <c r="R70" s="38"/>
      <c r="S70" s="38"/>
      <c r="T70" s="297"/>
      <c r="U70" s="297"/>
      <c r="V70" s="297"/>
      <c r="W70" s="297"/>
      <c r="X70" s="379"/>
      <c r="Y70" s="379"/>
      <c r="Z70" s="379"/>
      <c r="AA70" s="622"/>
      <c r="AD70" s="38"/>
      <c r="AE70" s="38"/>
      <c r="AF70" s="38"/>
      <c r="AG70" s="38"/>
      <c r="AH70" s="38"/>
      <c r="AI70" s="38"/>
      <c r="AJ70" s="38"/>
      <c r="AK70" s="38"/>
      <c r="AL70" s="38"/>
      <c r="AM70" s="38"/>
      <c r="AN70" s="35"/>
      <c r="AO70" s="35"/>
      <c r="AP70" s="35"/>
      <c r="AQ70" s="35"/>
      <c r="AR70" s="35"/>
      <c r="AS70" s="35"/>
    </row>
    <row r="71" spans="1:45" ht="14.25" customHeight="1" outlineLevel="1" x14ac:dyDescent="0.25">
      <c r="A71" s="364"/>
      <c r="B71" s="1082" t="s">
        <v>531</v>
      </c>
      <c r="C71" s="1083"/>
      <c r="D71" s="1083"/>
      <c r="E71" s="1083"/>
      <c r="F71" s="1083"/>
      <c r="G71" s="1083"/>
      <c r="H71" s="1322"/>
      <c r="I71" s="1027" t="s">
        <v>164</v>
      </c>
      <c r="J71" s="1483" t="str">
        <f>IF(A42=Y43,"Honorar für die besonderen Leistungen","Honorarangebot für die besonderen Leistungen")</f>
        <v>Honorar für die besonderen Leistungen</v>
      </c>
      <c r="K71" s="1483" t="s">
        <v>505</v>
      </c>
      <c r="L71" s="1485" t="s">
        <v>532</v>
      </c>
      <c r="M71" s="1483" t="s">
        <v>169</v>
      </c>
      <c r="N71" s="1558" t="s">
        <v>170</v>
      </c>
      <c r="O71" s="38"/>
      <c r="P71" s="44"/>
      <c r="Q71" s="38"/>
      <c r="R71" s="38"/>
      <c r="S71" s="38"/>
      <c r="T71" s="297"/>
      <c r="U71" s="297"/>
      <c r="V71" s="297"/>
      <c r="W71" s="297"/>
      <c r="X71" s="379"/>
      <c r="Y71" s="379"/>
      <c r="Z71" s="379"/>
      <c r="AA71" s="622"/>
      <c r="AD71" s="38"/>
      <c r="AE71" s="38"/>
      <c r="AF71" s="38"/>
      <c r="AG71" s="38"/>
      <c r="AH71" s="38"/>
      <c r="AI71" s="38"/>
      <c r="AJ71" s="38"/>
      <c r="AK71" s="38"/>
      <c r="AL71" s="38"/>
      <c r="AM71" s="38"/>
      <c r="AN71" s="35"/>
      <c r="AO71" s="35"/>
      <c r="AP71" s="35"/>
      <c r="AQ71" s="35"/>
      <c r="AR71" s="35"/>
      <c r="AS71" s="35"/>
    </row>
    <row r="72" spans="1:45" ht="14.25" customHeight="1" outlineLevel="1" x14ac:dyDescent="0.25">
      <c r="A72" s="364"/>
      <c r="B72" s="1084"/>
      <c r="C72" s="1085"/>
      <c r="D72" s="1085"/>
      <c r="E72" s="1085"/>
      <c r="F72" s="1085"/>
      <c r="G72" s="1085"/>
      <c r="H72" s="1323"/>
      <c r="I72" s="1028"/>
      <c r="J72" s="1484"/>
      <c r="K72" s="1484"/>
      <c r="L72" s="1486"/>
      <c r="M72" s="1484"/>
      <c r="N72" s="1559"/>
      <c r="O72" s="38"/>
      <c r="P72" s="44"/>
      <c r="Q72" s="38"/>
      <c r="R72" s="38"/>
      <c r="S72" s="38"/>
      <c r="T72" s="297"/>
      <c r="U72" s="297"/>
      <c r="V72" s="297"/>
      <c r="W72" s="297"/>
      <c r="X72" s="379"/>
      <c r="Y72" s="379"/>
      <c r="Z72" s="379"/>
      <c r="AA72" s="622"/>
      <c r="AD72" s="38"/>
      <c r="AE72" s="38"/>
      <c r="AF72" s="38"/>
      <c r="AG72" s="38"/>
      <c r="AH72" s="38"/>
      <c r="AI72" s="38"/>
      <c r="AJ72" s="38"/>
      <c r="AK72" s="38"/>
      <c r="AL72" s="38"/>
      <c r="AM72" s="38"/>
      <c r="AN72" s="35"/>
      <c r="AO72" s="35"/>
      <c r="AP72" s="35"/>
      <c r="AQ72" s="35"/>
      <c r="AR72" s="35"/>
      <c r="AS72" s="35"/>
    </row>
    <row r="73" spans="1:45" ht="14.25" customHeight="1" outlineLevel="1" thickBot="1" x14ac:dyDescent="0.3">
      <c r="A73" s="364"/>
      <c r="B73" s="1086"/>
      <c r="C73" s="1087"/>
      <c r="D73" s="1087"/>
      <c r="E73" s="1087"/>
      <c r="F73" s="1087"/>
      <c r="G73" s="1087"/>
      <c r="H73" s="1324"/>
      <c r="I73" s="1029"/>
      <c r="J73" s="1488"/>
      <c r="K73" s="1488"/>
      <c r="L73" s="1487"/>
      <c r="M73" s="1488"/>
      <c r="N73" s="1560"/>
      <c r="O73" s="38"/>
      <c r="P73" s="44"/>
      <c r="Q73" s="38"/>
      <c r="R73" s="38"/>
      <c r="S73" s="38"/>
      <c r="T73" s="297"/>
      <c r="U73" s="297"/>
      <c r="V73" s="297"/>
      <c r="W73" s="297"/>
      <c r="X73" s="379"/>
      <c r="Y73" s="379"/>
      <c r="Z73" s="379"/>
      <c r="AA73" s="622"/>
      <c r="AD73" s="38"/>
      <c r="AE73" s="38"/>
      <c r="AF73" s="38"/>
      <c r="AG73" s="38"/>
      <c r="AH73" s="38"/>
      <c r="AI73" s="38"/>
      <c r="AJ73" s="38"/>
      <c r="AK73" s="38"/>
      <c r="AL73" s="38"/>
      <c r="AM73" s="38"/>
      <c r="AN73" s="35"/>
      <c r="AO73" s="35"/>
      <c r="AP73" s="35"/>
      <c r="AQ73" s="35"/>
      <c r="AR73" s="35"/>
      <c r="AS73" s="35"/>
    </row>
    <row r="74" spans="1:45" ht="14.25" customHeight="1" outlineLevel="1" x14ac:dyDescent="0.25">
      <c r="A74" s="364"/>
      <c r="B74" s="1492" t="s">
        <v>533</v>
      </c>
      <c r="C74" s="1493"/>
      <c r="D74" s="1493"/>
      <c r="E74" s="1493"/>
      <c r="F74" s="1493"/>
      <c r="G74" s="1493"/>
      <c r="H74" s="1494"/>
      <c r="I74" s="1474" t="s">
        <v>107</v>
      </c>
      <c r="J74" s="1502"/>
      <c r="K74" s="1505"/>
      <c r="L74" s="1125">
        <f t="shared" ref="L74:L114" si="42">J74*K74</f>
        <v>0</v>
      </c>
      <c r="M74" s="1526" t="str">
        <f>IFERROR(IF((VLOOKUP(N74,Überblick!$M$124:$N$132,2))="ja","ja","nein"),"")</f>
        <v/>
      </c>
      <c r="N74" s="1509"/>
      <c r="O74" s="38">
        <f t="shared" ref="O74:O114" si="43">IF(AND(I74="ja",J74=""),1,0)</f>
        <v>0</v>
      </c>
      <c r="P74" s="44">
        <f t="shared" ref="P74:P131" si="44">IF(I74="ja",1,0)</f>
        <v>0</v>
      </c>
      <c r="Q74" s="38">
        <f>IF(AND(N74&lt;1,I74="ja"),1,0)</f>
        <v>0</v>
      </c>
      <c r="R74" s="38"/>
      <c r="S74" s="38"/>
      <c r="T74" s="297"/>
      <c r="U74" s="297"/>
      <c r="V74" s="297"/>
      <c r="W74" s="297"/>
      <c r="X74" s="379"/>
      <c r="Y74" s="379"/>
      <c r="Z74" s="379"/>
      <c r="AA74" s="379"/>
      <c r="AB74" s="379"/>
      <c r="AC74" s="379"/>
      <c r="AD74" s="297"/>
      <c r="AE74" s="38"/>
      <c r="AF74" s="38"/>
      <c r="AG74" s="38"/>
      <c r="AH74" s="38"/>
      <c r="AI74" s="38"/>
      <c r="AJ74" s="38"/>
      <c r="AK74" s="38"/>
      <c r="AL74" s="38"/>
      <c r="AM74" s="38"/>
      <c r="AN74" s="35"/>
      <c r="AO74" s="35"/>
      <c r="AP74" s="35"/>
      <c r="AQ74" s="35"/>
      <c r="AR74" s="35"/>
      <c r="AS74" s="35"/>
    </row>
    <row r="75" spans="1:45" ht="14.25" customHeight="1" outlineLevel="1" x14ac:dyDescent="0.25">
      <c r="A75" s="364"/>
      <c r="B75" s="1498"/>
      <c r="C75" s="1499"/>
      <c r="D75" s="1499"/>
      <c r="E75" s="1499"/>
      <c r="F75" s="1499"/>
      <c r="G75" s="1499"/>
      <c r="H75" s="1500"/>
      <c r="I75" s="1475"/>
      <c r="J75" s="1503"/>
      <c r="K75" s="1419"/>
      <c r="L75" s="1506"/>
      <c r="M75" s="1507"/>
      <c r="N75" s="1510"/>
      <c r="O75" s="38"/>
      <c r="P75" s="44"/>
      <c r="Q75" s="38"/>
      <c r="R75" s="38"/>
      <c r="S75" s="38"/>
      <c r="T75" s="297"/>
      <c r="U75" s="297"/>
      <c r="V75" s="297"/>
      <c r="W75" s="297"/>
      <c r="X75" s="379"/>
      <c r="Y75" s="379"/>
      <c r="Z75" s="379"/>
      <c r="AA75" s="379"/>
      <c r="AB75" s="379"/>
      <c r="AC75" s="379"/>
      <c r="AD75" s="297"/>
      <c r="AE75" s="38"/>
      <c r="AF75" s="38"/>
      <c r="AG75" s="38"/>
      <c r="AH75" s="38"/>
      <c r="AI75" s="38"/>
      <c r="AJ75" s="38"/>
      <c r="AK75" s="38"/>
      <c r="AL75" s="38"/>
      <c r="AM75" s="38"/>
      <c r="AN75" s="35"/>
      <c r="AO75" s="35"/>
      <c r="AP75" s="35"/>
      <c r="AQ75" s="35"/>
      <c r="AR75" s="35"/>
      <c r="AS75" s="35"/>
    </row>
    <row r="76" spans="1:45" ht="14.25" customHeight="1" outlineLevel="1" x14ac:dyDescent="0.25">
      <c r="A76" s="364"/>
      <c r="B76" s="1466" t="s">
        <v>534</v>
      </c>
      <c r="C76" s="1467"/>
      <c r="D76" s="1467"/>
      <c r="E76" s="1467"/>
      <c r="F76" s="1467"/>
      <c r="G76" s="1467"/>
      <c r="H76" s="1467"/>
      <c r="I76" s="1474" t="s">
        <v>107</v>
      </c>
      <c r="J76" s="1470"/>
      <c r="K76" s="1352"/>
      <c r="L76" s="1471">
        <f t="shared" si="42"/>
        <v>0</v>
      </c>
      <c r="M76" s="1526" t="str">
        <f>IFERROR(IF((VLOOKUP(N76,Überblick!$M$124:$N$132,2))="ja","ja","nein"),"")</f>
        <v/>
      </c>
      <c r="N76" s="1473"/>
      <c r="O76" s="38">
        <f t="shared" si="43"/>
        <v>0</v>
      </c>
      <c r="P76" s="44">
        <f t="shared" si="44"/>
        <v>0</v>
      </c>
      <c r="Q76" s="38">
        <f>IF(AND(N76&lt;1,I76="ja"),1,0)</f>
        <v>0</v>
      </c>
      <c r="R76" s="38"/>
      <c r="S76" s="38"/>
      <c r="T76" s="297"/>
      <c r="U76" s="297"/>
      <c r="V76" s="297"/>
      <c r="W76" s="297"/>
      <c r="X76" s="379"/>
      <c r="Y76" s="379"/>
      <c r="Z76" s="379"/>
      <c r="AA76" s="379"/>
      <c r="AB76" s="379"/>
      <c r="AC76" s="379"/>
      <c r="AD76" s="297"/>
      <c r="AE76" s="38"/>
      <c r="AF76" s="38"/>
      <c r="AG76" s="38"/>
      <c r="AH76" s="38"/>
      <c r="AI76" s="38"/>
      <c r="AJ76" s="38"/>
      <c r="AK76" s="38"/>
      <c r="AL76" s="38"/>
      <c r="AM76" s="38"/>
      <c r="AN76" s="35"/>
      <c r="AO76" s="35"/>
      <c r="AP76" s="35"/>
      <c r="AQ76" s="35"/>
      <c r="AR76" s="35"/>
      <c r="AS76" s="35"/>
    </row>
    <row r="77" spans="1:45" ht="14.25" customHeight="1" outlineLevel="1" x14ac:dyDescent="0.25">
      <c r="A77" s="364"/>
      <c r="B77" s="1466"/>
      <c r="C77" s="1467"/>
      <c r="D77" s="1467"/>
      <c r="E77" s="1467"/>
      <c r="F77" s="1467"/>
      <c r="G77" s="1467"/>
      <c r="H77" s="1467"/>
      <c r="I77" s="1475"/>
      <c r="J77" s="1470"/>
      <c r="K77" s="1352"/>
      <c r="L77" s="1471"/>
      <c r="M77" s="1507"/>
      <c r="N77" s="1473"/>
      <c r="O77" s="38"/>
      <c r="P77" s="44"/>
      <c r="Q77" s="38"/>
      <c r="R77" s="38"/>
      <c r="S77" s="38"/>
      <c r="T77" s="297"/>
      <c r="U77" s="297"/>
      <c r="V77" s="297"/>
      <c r="W77" s="297"/>
      <c r="X77" s="379"/>
      <c r="Y77" s="379"/>
      <c r="Z77" s="379"/>
      <c r="AA77" s="379"/>
      <c r="AB77" s="379"/>
      <c r="AC77" s="379"/>
      <c r="AD77" s="297"/>
      <c r="AE77" s="38"/>
      <c r="AF77" s="38"/>
      <c r="AG77" s="38"/>
      <c r="AH77" s="38"/>
      <c r="AI77" s="38"/>
      <c r="AJ77" s="38"/>
      <c r="AK77" s="38"/>
      <c r="AL77" s="38"/>
      <c r="AM77" s="38"/>
      <c r="AN77" s="35"/>
      <c r="AO77" s="35"/>
      <c r="AP77" s="35"/>
      <c r="AQ77" s="35"/>
      <c r="AR77" s="35"/>
      <c r="AS77" s="35"/>
    </row>
    <row r="78" spans="1:45" ht="14.25" customHeight="1" outlineLevel="1" x14ac:dyDescent="0.25">
      <c r="A78" s="364"/>
      <c r="B78" s="1466" t="s">
        <v>535</v>
      </c>
      <c r="C78" s="1467"/>
      <c r="D78" s="1467"/>
      <c r="E78" s="1467"/>
      <c r="F78" s="1467"/>
      <c r="G78" s="1467"/>
      <c r="H78" s="1467"/>
      <c r="I78" s="1474" t="s">
        <v>107</v>
      </c>
      <c r="J78" s="1470"/>
      <c r="K78" s="1352"/>
      <c r="L78" s="1471">
        <f t="shared" si="42"/>
        <v>0</v>
      </c>
      <c r="M78" s="1526" t="str">
        <f>IFERROR(IF((VLOOKUP(N78,Überblick!$M$124:$N$132,2))="ja","ja","nein"),"")</f>
        <v/>
      </c>
      <c r="N78" s="1473"/>
      <c r="O78" s="38">
        <f t="shared" si="43"/>
        <v>0</v>
      </c>
      <c r="P78" s="44">
        <f t="shared" si="44"/>
        <v>0</v>
      </c>
      <c r="Q78" s="38">
        <f>IF(AND(N78&lt;1,I78="ja"),1,0)</f>
        <v>0</v>
      </c>
      <c r="R78" s="38"/>
      <c r="S78" s="38"/>
      <c r="T78" s="297"/>
      <c r="U78" s="297"/>
      <c r="V78" s="297"/>
      <c r="W78" s="297"/>
      <c r="X78" s="379"/>
      <c r="Y78" s="379"/>
      <c r="Z78" s="379"/>
      <c r="AA78" s="379"/>
      <c r="AB78" s="379"/>
      <c r="AC78" s="379"/>
      <c r="AD78" s="297"/>
      <c r="AE78" s="38"/>
      <c r="AF78" s="38"/>
      <c r="AG78" s="38"/>
      <c r="AH78" s="38"/>
      <c r="AI78" s="38"/>
      <c r="AJ78" s="38"/>
      <c r="AK78" s="38"/>
      <c r="AL78" s="38"/>
      <c r="AM78" s="38"/>
      <c r="AN78" s="35"/>
      <c r="AO78" s="35"/>
      <c r="AP78" s="35"/>
      <c r="AQ78" s="35"/>
      <c r="AR78" s="35"/>
      <c r="AS78" s="35"/>
    </row>
    <row r="79" spans="1:45" ht="14.25" customHeight="1" outlineLevel="1" x14ac:dyDescent="0.25">
      <c r="A79" s="364"/>
      <c r="B79" s="1466"/>
      <c r="C79" s="1467"/>
      <c r="D79" s="1467"/>
      <c r="E79" s="1467"/>
      <c r="F79" s="1467"/>
      <c r="G79" s="1467"/>
      <c r="H79" s="1467"/>
      <c r="I79" s="1475"/>
      <c r="J79" s="1470"/>
      <c r="K79" s="1352"/>
      <c r="L79" s="1471"/>
      <c r="M79" s="1507"/>
      <c r="N79" s="1473"/>
      <c r="O79" s="38"/>
      <c r="P79" s="44"/>
      <c r="Q79" s="38"/>
      <c r="R79" s="38"/>
      <c r="S79" s="38"/>
      <c r="T79" s="297"/>
      <c r="U79" s="297"/>
      <c r="V79" s="297"/>
      <c r="W79" s="297"/>
      <c r="X79" s="379"/>
      <c r="Y79" s="379"/>
      <c r="Z79" s="379"/>
      <c r="AA79" s="379"/>
      <c r="AB79" s="379"/>
      <c r="AC79" s="379"/>
      <c r="AD79" s="297"/>
      <c r="AE79" s="38"/>
      <c r="AF79" s="38"/>
      <c r="AG79" s="38"/>
      <c r="AH79" s="38"/>
      <c r="AI79" s="38"/>
      <c r="AJ79" s="38"/>
      <c r="AK79" s="38"/>
      <c r="AL79" s="38"/>
      <c r="AM79" s="38"/>
      <c r="AN79" s="35"/>
      <c r="AO79" s="35"/>
      <c r="AP79" s="35"/>
      <c r="AQ79" s="35"/>
      <c r="AR79" s="35"/>
      <c r="AS79" s="35"/>
    </row>
    <row r="80" spans="1:45" ht="14.25" customHeight="1" outlineLevel="1" x14ac:dyDescent="0.25">
      <c r="A80" s="364"/>
      <c r="B80" s="1466" t="s">
        <v>536</v>
      </c>
      <c r="C80" s="1467"/>
      <c r="D80" s="1467"/>
      <c r="E80" s="1467"/>
      <c r="F80" s="1467"/>
      <c r="G80" s="1467"/>
      <c r="H80" s="1467"/>
      <c r="I80" s="1474" t="s">
        <v>107</v>
      </c>
      <c r="J80" s="1470"/>
      <c r="K80" s="1352"/>
      <c r="L80" s="1471">
        <f t="shared" si="42"/>
        <v>0</v>
      </c>
      <c r="M80" s="1526" t="str">
        <f>IFERROR(IF((VLOOKUP(N80,Überblick!$M$124:$N$132,2))="ja","ja","nein"),"")</f>
        <v/>
      </c>
      <c r="N80" s="1473"/>
      <c r="O80" s="38">
        <f t="shared" si="43"/>
        <v>0</v>
      </c>
      <c r="P80" s="44">
        <f t="shared" si="44"/>
        <v>0</v>
      </c>
      <c r="Q80" s="38">
        <f>IF(AND(N80&lt;1,I80="ja"),1,0)</f>
        <v>0</v>
      </c>
      <c r="R80" s="38"/>
      <c r="S80" s="38"/>
      <c r="T80" s="297"/>
      <c r="U80" s="297"/>
      <c r="V80" s="297"/>
      <c r="W80" s="297"/>
      <c r="X80" s="379"/>
      <c r="Y80" s="379"/>
      <c r="Z80" s="379"/>
      <c r="AA80" s="379"/>
      <c r="AB80" s="379"/>
      <c r="AC80" s="379"/>
      <c r="AD80" s="297"/>
      <c r="AE80" s="38"/>
      <c r="AF80" s="38"/>
      <c r="AG80" s="38"/>
      <c r="AH80" s="38"/>
      <c r="AI80" s="38"/>
      <c r="AJ80" s="38"/>
      <c r="AK80" s="38"/>
      <c r="AL80" s="38"/>
      <c r="AM80" s="38"/>
      <c r="AN80" s="35"/>
      <c r="AO80" s="35"/>
      <c r="AP80" s="35"/>
      <c r="AQ80" s="35"/>
      <c r="AR80" s="35"/>
      <c r="AS80" s="35"/>
    </row>
    <row r="81" spans="1:45" ht="14.25" customHeight="1" outlineLevel="1" x14ac:dyDescent="0.25">
      <c r="A81" s="364"/>
      <c r="B81" s="1466"/>
      <c r="C81" s="1467"/>
      <c r="D81" s="1467"/>
      <c r="E81" s="1467"/>
      <c r="F81" s="1467"/>
      <c r="G81" s="1467"/>
      <c r="H81" s="1467"/>
      <c r="I81" s="1475"/>
      <c r="J81" s="1470"/>
      <c r="K81" s="1352"/>
      <c r="L81" s="1471"/>
      <c r="M81" s="1507"/>
      <c r="N81" s="1473"/>
      <c r="O81" s="38"/>
      <c r="P81" s="44"/>
      <c r="Q81" s="38"/>
      <c r="R81" s="38"/>
      <c r="S81" s="38"/>
      <c r="T81" s="297"/>
      <c r="U81" s="297"/>
      <c r="V81" s="297"/>
      <c r="W81" s="297"/>
      <c r="X81" s="379"/>
      <c r="Y81" s="379"/>
      <c r="Z81" s="379"/>
      <c r="AA81" s="379"/>
      <c r="AB81" s="379"/>
      <c r="AC81" s="379"/>
      <c r="AD81" s="297"/>
      <c r="AE81" s="38"/>
      <c r="AF81" s="38"/>
      <c r="AG81" s="38"/>
      <c r="AH81" s="38"/>
      <c r="AI81" s="38"/>
      <c r="AJ81" s="38"/>
      <c r="AK81" s="38"/>
      <c r="AL81" s="38"/>
      <c r="AM81" s="38"/>
      <c r="AN81" s="35"/>
      <c r="AO81" s="35"/>
      <c r="AP81" s="35"/>
      <c r="AQ81" s="35"/>
      <c r="AR81" s="35"/>
      <c r="AS81" s="35"/>
    </row>
    <row r="82" spans="1:45" ht="14.25" customHeight="1" outlineLevel="1" x14ac:dyDescent="0.25">
      <c r="A82" s="364"/>
      <c r="B82" s="1466" t="s">
        <v>537</v>
      </c>
      <c r="C82" s="1467"/>
      <c r="D82" s="1467"/>
      <c r="E82" s="1467"/>
      <c r="F82" s="1467"/>
      <c r="G82" s="1467"/>
      <c r="H82" s="1467"/>
      <c r="I82" s="1474" t="s">
        <v>107</v>
      </c>
      <c r="J82" s="1470"/>
      <c r="K82" s="1352"/>
      <c r="L82" s="1471">
        <f t="shared" si="42"/>
        <v>0</v>
      </c>
      <c r="M82" s="1526" t="str">
        <f>IFERROR(IF((VLOOKUP(N82,Überblick!$M$124:$N$132,2))="ja","ja","nein"),"")</f>
        <v/>
      </c>
      <c r="N82" s="1473"/>
      <c r="O82" s="38">
        <f t="shared" si="43"/>
        <v>0</v>
      </c>
      <c r="P82" s="44">
        <f t="shared" si="44"/>
        <v>0</v>
      </c>
      <c r="Q82" s="38">
        <f>IF(AND(N82&lt;1,I82="ja"),1,0)</f>
        <v>0</v>
      </c>
      <c r="R82" s="38"/>
      <c r="S82" s="38"/>
      <c r="T82" s="297"/>
      <c r="U82" s="297"/>
      <c r="V82" s="297"/>
      <c r="W82" s="297"/>
      <c r="X82" s="379"/>
      <c r="Y82" s="379"/>
      <c r="Z82" s="379"/>
      <c r="AA82" s="379"/>
      <c r="AB82" s="379"/>
      <c r="AC82" s="379"/>
      <c r="AD82" s="297"/>
      <c r="AE82" s="38"/>
      <c r="AF82" s="38"/>
      <c r="AG82" s="38"/>
      <c r="AH82" s="38"/>
      <c r="AI82" s="38"/>
      <c r="AJ82" s="38"/>
      <c r="AK82" s="38"/>
      <c r="AL82" s="38"/>
      <c r="AM82" s="38"/>
      <c r="AN82" s="35"/>
      <c r="AO82" s="35"/>
      <c r="AP82" s="35"/>
      <c r="AQ82" s="35"/>
      <c r="AR82" s="35"/>
      <c r="AS82" s="35"/>
    </row>
    <row r="83" spans="1:45" ht="14.25" customHeight="1" outlineLevel="1" x14ac:dyDescent="0.25">
      <c r="A83" s="364"/>
      <c r="B83" s="1466"/>
      <c r="C83" s="1467"/>
      <c r="D83" s="1467"/>
      <c r="E83" s="1467"/>
      <c r="F83" s="1467"/>
      <c r="G83" s="1467"/>
      <c r="H83" s="1467"/>
      <c r="I83" s="1475"/>
      <c r="J83" s="1470"/>
      <c r="K83" s="1352"/>
      <c r="L83" s="1471"/>
      <c r="M83" s="1507"/>
      <c r="N83" s="1473"/>
      <c r="O83" s="38"/>
      <c r="P83" s="44"/>
      <c r="Q83" s="38"/>
      <c r="R83" s="38"/>
      <c r="S83" s="38"/>
      <c r="T83" s="297"/>
      <c r="U83" s="297"/>
      <c r="V83" s="297"/>
      <c r="W83" s="297"/>
      <c r="X83" s="379"/>
      <c r="Y83" s="379"/>
      <c r="Z83" s="379"/>
      <c r="AA83" s="379"/>
      <c r="AB83" s="379"/>
      <c r="AC83" s="379"/>
      <c r="AD83" s="297"/>
      <c r="AE83" s="38"/>
      <c r="AF83" s="38"/>
      <c r="AG83" s="38"/>
      <c r="AH83" s="38"/>
      <c r="AI83" s="38"/>
      <c r="AJ83" s="38"/>
      <c r="AK83" s="38"/>
      <c r="AL83" s="38"/>
      <c r="AM83" s="38"/>
      <c r="AN83" s="35"/>
      <c r="AO83" s="35"/>
      <c r="AP83" s="35"/>
      <c r="AQ83" s="35"/>
      <c r="AR83" s="35"/>
      <c r="AS83" s="35"/>
    </row>
    <row r="84" spans="1:45" ht="14.25" customHeight="1" outlineLevel="1" x14ac:dyDescent="0.25">
      <c r="A84" s="364"/>
      <c r="B84" s="1466" t="s">
        <v>538</v>
      </c>
      <c r="C84" s="1467"/>
      <c r="D84" s="1467"/>
      <c r="E84" s="1467"/>
      <c r="F84" s="1467"/>
      <c r="G84" s="1467"/>
      <c r="H84" s="1467"/>
      <c r="I84" s="1474" t="s">
        <v>107</v>
      </c>
      <c r="J84" s="1470"/>
      <c r="K84" s="1352"/>
      <c r="L84" s="1471">
        <f t="shared" si="42"/>
        <v>0</v>
      </c>
      <c r="M84" s="1526" t="str">
        <f>IFERROR(IF((VLOOKUP(N84,Überblick!$M$124:$N$132,2))="ja","ja","nein"),"")</f>
        <v/>
      </c>
      <c r="N84" s="1473"/>
      <c r="O84" s="38">
        <f t="shared" si="43"/>
        <v>0</v>
      </c>
      <c r="P84" s="44">
        <f t="shared" si="44"/>
        <v>0</v>
      </c>
      <c r="Q84" s="38">
        <f>IF(AND(N84&lt;1,I84="ja"),1,0)</f>
        <v>0</v>
      </c>
      <c r="R84" s="38"/>
      <c r="S84" s="38"/>
      <c r="T84" s="297"/>
      <c r="U84" s="297"/>
      <c r="V84" s="297"/>
      <c r="W84" s="297"/>
      <c r="X84" s="379"/>
      <c r="Y84" s="379"/>
      <c r="Z84" s="379"/>
      <c r="AA84" s="379"/>
      <c r="AB84" s="379"/>
      <c r="AC84" s="379"/>
      <c r="AD84" s="297"/>
      <c r="AE84" s="38"/>
      <c r="AF84" s="38"/>
      <c r="AG84" s="38"/>
      <c r="AH84" s="38"/>
      <c r="AI84" s="38"/>
      <c r="AJ84" s="38"/>
      <c r="AK84" s="38"/>
      <c r="AL84" s="38"/>
      <c r="AM84" s="38"/>
      <c r="AN84" s="35"/>
      <c r="AO84" s="35"/>
      <c r="AP84" s="35"/>
      <c r="AQ84" s="35"/>
      <c r="AR84" s="35"/>
      <c r="AS84" s="35"/>
    </row>
    <row r="85" spans="1:45" ht="14.25" customHeight="1" outlineLevel="1" x14ac:dyDescent="0.25">
      <c r="A85" s="364"/>
      <c r="B85" s="1466"/>
      <c r="C85" s="1467"/>
      <c r="D85" s="1467"/>
      <c r="E85" s="1467"/>
      <c r="F85" s="1467"/>
      <c r="G85" s="1467"/>
      <c r="H85" s="1467"/>
      <c r="I85" s="1475"/>
      <c r="J85" s="1470"/>
      <c r="K85" s="1352"/>
      <c r="L85" s="1471"/>
      <c r="M85" s="1507"/>
      <c r="N85" s="1473"/>
      <c r="O85" s="38"/>
      <c r="P85" s="44"/>
      <c r="Q85" s="38"/>
      <c r="R85" s="38"/>
      <c r="S85" s="38"/>
      <c r="T85" s="297"/>
      <c r="U85" s="297"/>
      <c r="V85" s="297"/>
      <c r="W85" s="297"/>
      <c r="X85" s="379"/>
      <c r="Y85" s="379"/>
      <c r="Z85" s="379"/>
      <c r="AA85" s="379"/>
      <c r="AB85" s="379"/>
      <c r="AC85" s="379"/>
      <c r="AD85" s="297"/>
      <c r="AE85" s="38"/>
      <c r="AF85" s="38"/>
      <c r="AG85" s="38"/>
      <c r="AH85" s="38"/>
      <c r="AI85" s="38"/>
      <c r="AJ85" s="38"/>
      <c r="AK85" s="38"/>
      <c r="AL85" s="38"/>
      <c r="AM85" s="38"/>
      <c r="AN85" s="35"/>
      <c r="AO85" s="35"/>
      <c r="AP85" s="35"/>
      <c r="AQ85" s="35"/>
      <c r="AR85" s="35"/>
      <c r="AS85" s="35"/>
    </row>
    <row r="86" spans="1:45" ht="14.25" customHeight="1" outlineLevel="1" x14ac:dyDescent="0.25">
      <c r="A86" s="364"/>
      <c r="B86" s="1466" t="s">
        <v>539</v>
      </c>
      <c r="C86" s="1467"/>
      <c r="D86" s="1467"/>
      <c r="E86" s="1467"/>
      <c r="F86" s="1467"/>
      <c r="G86" s="1467"/>
      <c r="H86" s="1467"/>
      <c r="I86" s="1474" t="s">
        <v>107</v>
      </c>
      <c r="J86" s="1470"/>
      <c r="K86" s="1352"/>
      <c r="L86" s="1471">
        <f t="shared" si="42"/>
        <v>0</v>
      </c>
      <c r="M86" s="1526" t="str">
        <f>IFERROR(IF((VLOOKUP(N86,Überblick!$M$124:$N$132,2))="ja","ja","nein"),"")</f>
        <v/>
      </c>
      <c r="N86" s="1473"/>
      <c r="O86" s="38">
        <f t="shared" si="43"/>
        <v>0</v>
      </c>
      <c r="P86" s="44">
        <f t="shared" si="44"/>
        <v>0</v>
      </c>
      <c r="Q86" s="38">
        <f>IF(AND(N86&lt;1,I86="ja"),1,0)</f>
        <v>0</v>
      </c>
      <c r="R86" s="38"/>
      <c r="S86" s="38"/>
      <c r="T86" s="297"/>
      <c r="U86" s="297"/>
      <c r="V86" s="297"/>
      <c r="W86" s="297"/>
      <c r="X86" s="379"/>
      <c r="Y86" s="379"/>
      <c r="Z86" s="379"/>
      <c r="AA86" s="379"/>
      <c r="AB86" s="379"/>
      <c r="AC86" s="379"/>
      <c r="AD86" s="297"/>
      <c r="AE86" s="38"/>
      <c r="AF86" s="38"/>
      <c r="AG86" s="38"/>
      <c r="AH86" s="38"/>
      <c r="AI86" s="38"/>
      <c r="AJ86" s="38"/>
      <c r="AK86" s="38"/>
      <c r="AL86" s="38"/>
      <c r="AM86" s="38"/>
      <c r="AN86" s="35"/>
      <c r="AO86" s="35"/>
      <c r="AP86" s="35"/>
      <c r="AQ86" s="35"/>
      <c r="AR86" s="35"/>
      <c r="AS86" s="35"/>
    </row>
    <row r="87" spans="1:45" ht="14.25" customHeight="1" outlineLevel="1" x14ac:dyDescent="0.25">
      <c r="A87" s="364"/>
      <c r="B87" s="1466"/>
      <c r="C87" s="1467"/>
      <c r="D87" s="1467"/>
      <c r="E87" s="1467"/>
      <c r="F87" s="1467"/>
      <c r="G87" s="1467"/>
      <c r="H87" s="1467"/>
      <c r="I87" s="1475"/>
      <c r="J87" s="1470"/>
      <c r="K87" s="1352"/>
      <c r="L87" s="1471"/>
      <c r="M87" s="1507"/>
      <c r="N87" s="1473"/>
      <c r="O87" s="38"/>
      <c r="P87" s="44"/>
      <c r="Q87" s="38"/>
      <c r="R87" s="38"/>
      <c r="S87" s="38"/>
      <c r="T87" s="297"/>
      <c r="U87" s="297"/>
      <c r="V87" s="297"/>
      <c r="W87" s="297"/>
      <c r="X87" s="379"/>
      <c r="Y87" s="379"/>
      <c r="Z87" s="379"/>
      <c r="AA87" s="379"/>
      <c r="AB87" s="379"/>
      <c r="AC87" s="379"/>
      <c r="AD87" s="297"/>
      <c r="AE87" s="38"/>
      <c r="AF87" s="38"/>
      <c r="AG87" s="38"/>
      <c r="AH87" s="38"/>
      <c r="AI87" s="38"/>
      <c r="AJ87" s="38"/>
      <c r="AK87" s="38"/>
      <c r="AL87" s="38"/>
      <c r="AM87" s="38"/>
      <c r="AN87" s="35"/>
      <c r="AO87" s="35"/>
      <c r="AP87" s="35"/>
      <c r="AQ87" s="35"/>
      <c r="AR87" s="35"/>
      <c r="AS87" s="35"/>
    </row>
    <row r="88" spans="1:45" ht="14.25" customHeight="1" outlineLevel="1" x14ac:dyDescent="0.25">
      <c r="A88" s="364"/>
      <c r="B88" s="1466" t="s">
        <v>540</v>
      </c>
      <c r="C88" s="1467"/>
      <c r="D88" s="1467"/>
      <c r="E88" s="1467"/>
      <c r="F88" s="1467"/>
      <c r="G88" s="1467"/>
      <c r="H88" s="1467"/>
      <c r="I88" s="1474" t="s">
        <v>107</v>
      </c>
      <c r="J88" s="1470"/>
      <c r="K88" s="1352"/>
      <c r="L88" s="1471">
        <f t="shared" si="42"/>
        <v>0</v>
      </c>
      <c r="M88" s="1526" t="str">
        <f>IFERROR(IF((VLOOKUP(N88,Überblick!$M$124:$N$132,2))="ja","ja","nein"),"")</f>
        <v/>
      </c>
      <c r="N88" s="1473"/>
      <c r="O88" s="38">
        <f t="shared" si="43"/>
        <v>0</v>
      </c>
      <c r="P88" s="44">
        <f t="shared" si="44"/>
        <v>0</v>
      </c>
      <c r="Q88" s="38">
        <f>IF(AND(N88&lt;1,I88="ja"),1,0)</f>
        <v>0</v>
      </c>
      <c r="R88" s="38"/>
      <c r="S88" s="38"/>
      <c r="T88" s="297"/>
      <c r="U88" s="297"/>
      <c r="V88" s="297"/>
      <c r="W88" s="297"/>
      <c r="X88" s="379"/>
      <c r="Y88" s="379"/>
      <c r="Z88" s="379"/>
      <c r="AA88" s="379"/>
      <c r="AB88" s="379"/>
      <c r="AC88" s="379"/>
      <c r="AD88" s="297"/>
      <c r="AE88" s="38"/>
      <c r="AF88" s="38"/>
      <c r="AG88" s="38"/>
      <c r="AH88" s="38"/>
      <c r="AI88" s="38"/>
      <c r="AJ88" s="38"/>
      <c r="AK88" s="38"/>
      <c r="AL88" s="38"/>
      <c r="AM88" s="38"/>
      <c r="AN88" s="35"/>
      <c r="AO88" s="35"/>
      <c r="AP88" s="35"/>
      <c r="AQ88" s="35"/>
      <c r="AR88" s="35"/>
      <c r="AS88" s="35"/>
    </row>
    <row r="89" spans="1:45" ht="14.25" customHeight="1" outlineLevel="1" x14ac:dyDescent="0.25">
      <c r="A89" s="364"/>
      <c r="B89" s="1466"/>
      <c r="C89" s="1467"/>
      <c r="D89" s="1467"/>
      <c r="E89" s="1467"/>
      <c r="F89" s="1467"/>
      <c r="G89" s="1467"/>
      <c r="H89" s="1467"/>
      <c r="I89" s="1475"/>
      <c r="J89" s="1470"/>
      <c r="K89" s="1352"/>
      <c r="L89" s="1471"/>
      <c r="M89" s="1507"/>
      <c r="N89" s="1473"/>
      <c r="O89" s="38"/>
      <c r="P89" s="44"/>
      <c r="Q89" s="38"/>
      <c r="R89" s="38"/>
      <c r="S89" s="38"/>
      <c r="T89" s="297"/>
      <c r="U89" s="297"/>
      <c r="V89" s="297"/>
      <c r="W89" s="297"/>
      <c r="X89" s="379"/>
      <c r="Y89" s="379"/>
      <c r="Z89" s="379"/>
      <c r="AA89" s="379"/>
      <c r="AB89" s="379"/>
      <c r="AC89" s="379"/>
      <c r="AD89" s="297"/>
      <c r="AE89" s="38"/>
      <c r="AF89" s="38"/>
      <c r="AG89" s="38"/>
      <c r="AH89" s="38"/>
      <c r="AI89" s="38"/>
      <c r="AJ89" s="38"/>
      <c r="AK89" s="38"/>
      <c r="AL89" s="38"/>
      <c r="AM89" s="38"/>
      <c r="AN89" s="35"/>
      <c r="AO89" s="35"/>
      <c r="AP89" s="35"/>
      <c r="AQ89" s="35"/>
      <c r="AR89" s="35"/>
      <c r="AS89" s="35"/>
    </row>
    <row r="90" spans="1:45" ht="14.25" customHeight="1" outlineLevel="1" x14ac:dyDescent="0.25">
      <c r="A90" s="364"/>
      <c r="B90" s="1466" t="s">
        <v>541</v>
      </c>
      <c r="C90" s="1467"/>
      <c r="D90" s="1467"/>
      <c r="E90" s="1467"/>
      <c r="F90" s="1467"/>
      <c r="G90" s="1467"/>
      <c r="H90" s="1467"/>
      <c r="I90" s="1474" t="s">
        <v>107</v>
      </c>
      <c r="J90" s="1470"/>
      <c r="K90" s="1352"/>
      <c r="L90" s="1471">
        <f t="shared" si="42"/>
        <v>0</v>
      </c>
      <c r="M90" s="1526" t="str">
        <f>IFERROR(IF((VLOOKUP(N90,Überblick!$M$124:$N$132,2))="ja","ja","nein"),"")</f>
        <v/>
      </c>
      <c r="N90" s="1473"/>
      <c r="O90" s="38">
        <f t="shared" si="43"/>
        <v>0</v>
      </c>
      <c r="P90" s="44">
        <f t="shared" si="44"/>
        <v>0</v>
      </c>
      <c r="Q90" s="38">
        <f>IF(AND(N90&lt;1,I90="ja"),1,0)</f>
        <v>0</v>
      </c>
      <c r="R90" s="38"/>
      <c r="S90" s="38"/>
      <c r="T90" s="297"/>
      <c r="U90" s="297"/>
      <c r="V90" s="297"/>
      <c r="W90" s="297"/>
      <c r="X90" s="379"/>
      <c r="Y90" s="379"/>
      <c r="Z90" s="379"/>
      <c r="AA90" s="379"/>
      <c r="AB90" s="379"/>
      <c r="AC90" s="379"/>
      <c r="AD90" s="297"/>
      <c r="AE90" s="38"/>
      <c r="AF90" s="38"/>
      <c r="AG90" s="38"/>
      <c r="AH90" s="38"/>
      <c r="AI90" s="38"/>
      <c r="AJ90" s="38"/>
      <c r="AK90" s="38"/>
      <c r="AL90" s="38"/>
      <c r="AM90" s="38"/>
      <c r="AN90" s="35"/>
      <c r="AO90" s="35"/>
      <c r="AP90" s="35"/>
      <c r="AQ90" s="35"/>
      <c r="AR90" s="35"/>
      <c r="AS90" s="35"/>
    </row>
    <row r="91" spans="1:45" ht="14.25" customHeight="1" outlineLevel="1" x14ac:dyDescent="0.25">
      <c r="A91" s="364"/>
      <c r="B91" s="1466"/>
      <c r="C91" s="1467"/>
      <c r="D91" s="1467"/>
      <c r="E91" s="1467"/>
      <c r="F91" s="1467"/>
      <c r="G91" s="1467"/>
      <c r="H91" s="1467"/>
      <c r="I91" s="1475"/>
      <c r="J91" s="1470"/>
      <c r="K91" s="1352"/>
      <c r="L91" s="1471"/>
      <c r="M91" s="1507"/>
      <c r="N91" s="1473"/>
      <c r="O91" s="38"/>
      <c r="P91" s="44"/>
      <c r="Q91" s="38"/>
      <c r="R91" s="38"/>
      <c r="S91" s="38"/>
      <c r="T91" s="297"/>
      <c r="U91" s="297"/>
      <c r="V91" s="297"/>
      <c r="W91" s="297"/>
      <c r="X91" s="379"/>
      <c r="Y91" s="379"/>
      <c r="Z91" s="379"/>
      <c r="AA91" s="379"/>
      <c r="AB91" s="379"/>
      <c r="AC91" s="379"/>
      <c r="AD91" s="297"/>
      <c r="AE91" s="38"/>
      <c r="AF91" s="38"/>
      <c r="AG91" s="38"/>
      <c r="AH91" s="38"/>
      <c r="AI91" s="38"/>
      <c r="AJ91" s="38"/>
      <c r="AK91" s="38"/>
      <c r="AL91" s="38"/>
      <c r="AM91" s="38"/>
      <c r="AN91" s="35"/>
      <c r="AO91" s="35"/>
      <c r="AP91" s="35"/>
      <c r="AQ91" s="35"/>
      <c r="AR91" s="35"/>
      <c r="AS91" s="35"/>
    </row>
    <row r="92" spans="1:45" ht="14.25" customHeight="1" outlineLevel="1" x14ac:dyDescent="0.25">
      <c r="A92" s="364"/>
      <c r="B92" s="1466" t="s">
        <v>515</v>
      </c>
      <c r="C92" s="1467"/>
      <c r="D92" s="1467"/>
      <c r="E92" s="1467"/>
      <c r="F92" s="1467"/>
      <c r="G92" s="1467"/>
      <c r="H92" s="1467"/>
      <c r="I92" s="1474" t="s">
        <v>107</v>
      </c>
      <c r="J92" s="1470"/>
      <c r="K92" s="1352"/>
      <c r="L92" s="1471">
        <f t="shared" si="42"/>
        <v>0</v>
      </c>
      <c r="M92" s="1526" t="str">
        <f>IFERROR(IF((VLOOKUP(N92,Überblick!$M$124:$N$132,2))="ja","ja","nein"),"")</f>
        <v/>
      </c>
      <c r="N92" s="1473"/>
      <c r="O92" s="38">
        <f t="shared" si="43"/>
        <v>0</v>
      </c>
      <c r="P92" s="44">
        <f t="shared" si="44"/>
        <v>0</v>
      </c>
      <c r="Q92" s="38">
        <f>IF(AND(N92&lt;1,I92="ja"),1,0)</f>
        <v>0</v>
      </c>
      <c r="R92" s="38"/>
      <c r="S92" s="38"/>
      <c r="T92" s="297"/>
      <c r="U92" s="297"/>
      <c r="V92" s="297"/>
      <c r="W92" s="297"/>
      <c r="X92" s="379"/>
      <c r="Y92" s="379"/>
      <c r="Z92" s="379"/>
      <c r="AA92" s="379"/>
      <c r="AB92" s="379"/>
      <c r="AC92" s="379"/>
      <c r="AD92" s="297"/>
      <c r="AE92" s="38"/>
      <c r="AF92" s="38"/>
      <c r="AG92" s="38"/>
      <c r="AH92" s="38"/>
      <c r="AI92" s="38"/>
      <c r="AJ92" s="38"/>
      <c r="AK92" s="38"/>
      <c r="AL92" s="38"/>
      <c r="AM92" s="38"/>
      <c r="AN92" s="35"/>
      <c r="AO92" s="35"/>
      <c r="AP92" s="35"/>
      <c r="AQ92" s="35"/>
      <c r="AR92" s="35"/>
      <c r="AS92" s="35"/>
    </row>
    <row r="93" spans="1:45" ht="14.25" customHeight="1" outlineLevel="1" x14ac:dyDescent="0.25">
      <c r="A93" s="364"/>
      <c r="B93" s="1466"/>
      <c r="C93" s="1467"/>
      <c r="D93" s="1467"/>
      <c r="E93" s="1467"/>
      <c r="F93" s="1467"/>
      <c r="G93" s="1467"/>
      <c r="H93" s="1467"/>
      <c r="I93" s="1475"/>
      <c r="J93" s="1470"/>
      <c r="K93" s="1352"/>
      <c r="L93" s="1471"/>
      <c r="M93" s="1507"/>
      <c r="N93" s="1473"/>
      <c r="O93" s="38"/>
      <c r="P93" s="44"/>
      <c r="Q93" s="38"/>
      <c r="R93" s="38"/>
      <c r="S93" s="38"/>
      <c r="T93" s="297"/>
      <c r="U93" s="297"/>
      <c r="V93" s="297"/>
      <c r="W93" s="297"/>
      <c r="X93" s="379"/>
      <c r="Y93" s="379"/>
      <c r="Z93" s="379"/>
      <c r="AA93" s="379"/>
      <c r="AB93" s="379"/>
      <c r="AC93" s="379"/>
      <c r="AD93" s="297"/>
      <c r="AE93" s="38"/>
      <c r="AF93" s="38"/>
      <c r="AG93" s="38"/>
      <c r="AH93" s="38"/>
      <c r="AI93" s="38"/>
      <c r="AJ93" s="38"/>
      <c r="AK93" s="38"/>
      <c r="AL93" s="38"/>
      <c r="AM93" s="38"/>
      <c r="AN93" s="35"/>
      <c r="AO93" s="35"/>
      <c r="AP93" s="35"/>
      <c r="AQ93" s="35"/>
      <c r="AR93" s="35"/>
      <c r="AS93" s="35"/>
    </row>
    <row r="94" spans="1:45" ht="14.25" customHeight="1" outlineLevel="1" x14ac:dyDescent="0.25">
      <c r="A94" s="364"/>
      <c r="B94" s="1466" t="s">
        <v>542</v>
      </c>
      <c r="C94" s="1467"/>
      <c r="D94" s="1467"/>
      <c r="E94" s="1467"/>
      <c r="F94" s="1467"/>
      <c r="G94" s="1467"/>
      <c r="H94" s="1467"/>
      <c r="I94" s="1474" t="s">
        <v>107</v>
      </c>
      <c r="J94" s="1470"/>
      <c r="K94" s="1352"/>
      <c r="L94" s="1471">
        <f t="shared" si="42"/>
        <v>0</v>
      </c>
      <c r="M94" s="1526" t="str">
        <f>IFERROR(IF((VLOOKUP(N94,Überblick!$M$124:$N$132,2))="ja","ja","nein"),"")</f>
        <v/>
      </c>
      <c r="N94" s="1473"/>
      <c r="O94" s="38">
        <f t="shared" si="43"/>
        <v>0</v>
      </c>
      <c r="P94" s="44">
        <f t="shared" si="44"/>
        <v>0</v>
      </c>
      <c r="Q94" s="38">
        <f>IF(AND(N94&lt;1,I94="ja"),1,0)</f>
        <v>0</v>
      </c>
      <c r="R94" s="38"/>
      <c r="S94" s="38"/>
      <c r="T94" s="297"/>
      <c r="U94" s="297"/>
      <c r="V94" s="297"/>
      <c r="W94" s="297"/>
      <c r="X94" s="379"/>
      <c r="Y94" s="379"/>
      <c r="Z94" s="379"/>
      <c r="AA94" s="379"/>
      <c r="AB94" s="379"/>
      <c r="AC94" s="379"/>
      <c r="AD94" s="297"/>
      <c r="AE94" s="38"/>
      <c r="AF94" s="38"/>
      <c r="AG94" s="38"/>
      <c r="AH94" s="38"/>
      <c r="AI94" s="38"/>
      <c r="AJ94" s="38"/>
      <c r="AK94" s="38"/>
      <c r="AL94" s="38"/>
      <c r="AM94" s="38"/>
      <c r="AN94" s="35"/>
      <c r="AO94" s="35"/>
      <c r="AP94" s="35"/>
      <c r="AQ94" s="35"/>
      <c r="AR94" s="35"/>
      <c r="AS94" s="35"/>
    </row>
    <row r="95" spans="1:45" ht="14.25" customHeight="1" outlineLevel="1" x14ac:dyDescent="0.25">
      <c r="A95" s="364"/>
      <c r="B95" s="1466"/>
      <c r="C95" s="1467"/>
      <c r="D95" s="1467"/>
      <c r="E95" s="1467"/>
      <c r="F95" s="1467"/>
      <c r="G95" s="1467"/>
      <c r="H95" s="1467"/>
      <c r="I95" s="1475"/>
      <c r="J95" s="1470"/>
      <c r="K95" s="1352"/>
      <c r="L95" s="1471"/>
      <c r="M95" s="1507"/>
      <c r="N95" s="1473"/>
      <c r="O95" s="38"/>
      <c r="P95" s="44"/>
      <c r="Q95" s="38"/>
      <c r="R95" s="38"/>
      <c r="S95" s="38"/>
      <c r="T95" s="297"/>
      <c r="U95" s="297"/>
      <c r="V95" s="297"/>
      <c r="W95" s="297"/>
      <c r="X95" s="379"/>
      <c r="Y95" s="379"/>
      <c r="Z95" s="379"/>
      <c r="AA95" s="379"/>
      <c r="AB95" s="379"/>
      <c r="AC95" s="379"/>
      <c r="AD95" s="297"/>
      <c r="AE95" s="38"/>
      <c r="AF95" s="38"/>
      <c r="AG95" s="38"/>
      <c r="AH95" s="38"/>
      <c r="AI95" s="38"/>
      <c r="AJ95" s="38"/>
      <c r="AK95" s="38"/>
      <c r="AL95" s="38"/>
      <c r="AM95" s="38"/>
      <c r="AN95" s="35"/>
      <c r="AO95" s="35"/>
      <c r="AP95" s="35"/>
      <c r="AQ95" s="35"/>
      <c r="AR95" s="35"/>
      <c r="AS95" s="35"/>
    </row>
    <row r="96" spans="1:45" ht="14.25" customHeight="1" outlineLevel="1" x14ac:dyDescent="0.25">
      <c r="A96" s="364"/>
      <c r="B96" s="1466" t="s">
        <v>543</v>
      </c>
      <c r="C96" s="1467"/>
      <c r="D96" s="1467"/>
      <c r="E96" s="1467"/>
      <c r="F96" s="1467"/>
      <c r="G96" s="1467"/>
      <c r="H96" s="1467"/>
      <c r="I96" s="1474" t="s">
        <v>107</v>
      </c>
      <c r="J96" s="1470"/>
      <c r="K96" s="1352"/>
      <c r="L96" s="1471">
        <f t="shared" si="42"/>
        <v>0</v>
      </c>
      <c r="M96" s="1526" t="str">
        <f>IFERROR(IF((VLOOKUP(N96,Überblick!$M$124:$N$132,2))="ja","ja","nein"),"")</f>
        <v/>
      </c>
      <c r="N96" s="1473"/>
      <c r="O96" s="38">
        <f t="shared" si="43"/>
        <v>0</v>
      </c>
      <c r="P96" s="44">
        <f t="shared" si="44"/>
        <v>0</v>
      </c>
      <c r="Q96" s="38">
        <f>IF(AND(N96&lt;1,I96="ja"),1,0)</f>
        <v>0</v>
      </c>
      <c r="R96" s="38"/>
      <c r="S96" s="38"/>
      <c r="T96" s="297"/>
      <c r="U96" s="297"/>
      <c r="V96" s="297"/>
      <c r="W96" s="297"/>
      <c r="X96" s="379"/>
      <c r="Y96" s="379"/>
      <c r="Z96" s="379"/>
      <c r="AA96" s="379"/>
      <c r="AB96" s="379"/>
      <c r="AC96" s="379"/>
      <c r="AD96" s="297"/>
      <c r="AE96" s="38"/>
      <c r="AF96" s="38"/>
      <c r="AG96" s="38"/>
      <c r="AH96" s="38"/>
      <c r="AI96" s="38"/>
      <c r="AJ96" s="38"/>
      <c r="AK96" s="38"/>
      <c r="AL96" s="38"/>
      <c r="AM96" s="38"/>
      <c r="AN96" s="35"/>
      <c r="AO96" s="35"/>
      <c r="AP96" s="35"/>
      <c r="AQ96" s="35"/>
      <c r="AR96" s="35"/>
      <c r="AS96" s="35"/>
    </row>
    <row r="97" spans="1:45" ht="14.25" customHeight="1" outlineLevel="1" x14ac:dyDescent="0.25">
      <c r="A97" s="364"/>
      <c r="B97" s="1466"/>
      <c r="C97" s="1467"/>
      <c r="D97" s="1467"/>
      <c r="E97" s="1467"/>
      <c r="F97" s="1467"/>
      <c r="G97" s="1467"/>
      <c r="H97" s="1467"/>
      <c r="I97" s="1475"/>
      <c r="J97" s="1470"/>
      <c r="K97" s="1352"/>
      <c r="L97" s="1471"/>
      <c r="M97" s="1507"/>
      <c r="N97" s="1473"/>
      <c r="O97" s="38"/>
      <c r="P97" s="44"/>
      <c r="Q97" s="38"/>
      <c r="R97" s="38"/>
      <c r="S97" s="38"/>
      <c r="T97" s="297"/>
      <c r="U97" s="297"/>
      <c r="V97" s="297"/>
      <c r="W97" s="297"/>
      <c r="X97" s="379"/>
      <c r="Y97" s="379"/>
      <c r="Z97" s="379"/>
      <c r="AA97" s="379"/>
      <c r="AB97" s="379"/>
      <c r="AC97" s="379"/>
      <c r="AD97" s="297"/>
      <c r="AE97" s="38"/>
      <c r="AF97" s="38"/>
      <c r="AG97" s="38"/>
      <c r="AH97" s="38"/>
      <c r="AI97" s="38"/>
      <c r="AJ97" s="38"/>
      <c r="AK97" s="38"/>
      <c r="AL97" s="38"/>
      <c r="AM97" s="38"/>
      <c r="AN97" s="35"/>
      <c r="AO97" s="35"/>
      <c r="AP97" s="35"/>
      <c r="AQ97" s="35"/>
      <c r="AR97" s="35"/>
      <c r="AS97" s="35"/>
    </row>
    <row r="98" spans="1:45" ht="14.25" customHeight="1" outlineLevel="1" x14ac:dyDescent="0.25">
      <c r="A98" s="364"/>
      <c r="B98" s="1466" t="s">
        <v>544</v>
      </c>
      <c r="C98" s="1467"/>
      <c r="D98" s="1467"/>
      <c r="E98" s="1467"/>
      <c r="F98" s="1467"/>
      <c r="G98" s="1467"/>
      <c r="H98" s="1467"/>
      <c r="I98" s="1474" t="s">
        <v>107</v>
      </c>
      <c r="J98" s="1470"/>
      <c r="K98" s="1352"/>
      <c r="L98" s="1471">
        <f t="shared" si="42"/>
        <v>0</v>
      </c>
      <c r="M98" s="1526" t="str">
        <f>IFERROR(IF((VLOOKUP(N98,Überblick!$M$124:$N$132,2))="ja","ja","nein"),"")</f>
        <v/>
      </c>
      <c r="N98" s="1473"/>
      <c r="O98" s="38">
        <f t="shared" si="43"/>
        <v>0</v>
      </c>
      <c r="P98" s="44">
        <f t="shared" si="44"/>
        <v>0</v>
      </c>
      <c r="Q98" s="38">
        <f>IF(AND(N98&lt;1,I98="ja"),1,0)</f>
        <v>0</v>
      </c>
      <c r="R98" s="38"/>
      <c r="S98" s="38"/>
      <c r="T98" s="297"/>
      <c r="U98" s="297"/>
      <c r="V98" s="297"/>
      <c r="W98" s="297"/>
      <c r="X98" s="379"/>
      <c r="Y98" s="379"/>
      <c r="Z98" s="379"/>
      <c r="AA98" s="379"/>
      <c r="AB98" s="379"/>
      <c r="AC98" s="379"/>
      <c r="AD98" s="297"/>
      <c r="AE98" s="38"/>
      <c r="AF98" s="38"/>
      <c r="AG98" s="38"/>
      <c r="AH98" s="38"/>
      <c r="AI98" s="38"/>
      <c r="AJ98" s="38"/>
      <c r="AK98" s="38"/>
      <c r="AL98" s="38"/>
      <c r="AM98" s="38"/>
      <c r="AN98" s="35"/>
      <c r="AO98" s="35"/>
      <c r="AP98" s="35"/>
      <c r="AQ98" s="35"/>
      <c r="AR98" s="35"/>
      <c r="AS98" s="35"/>
    </row>
    <row r="99" spans="1:45" ht="14.25" customHeight="1" outlineLevel="1" x14ac:dyDescent="0.25">
      <c r="A99" s="364"/>
      <c r="B99" s="1466"/>
      <c r="C99" s="1467"/>
      <c r="D99" s="1467"/>
      <c r="E99" s="1467"/>
      <c r="F99" s="1467"/>
      <c r="G99" s="1467"/>
      <c r="H99" s="1467"/>
      <c r="I99" s="1475"/>
      <c r="J99" s="1470"/>
      <c r="K99" s="1352"/>
      <c r="L99" s="1471"/>
      <c r="M99" s="1507"/>
      <c r="N99" s="1473"/>
      <c r="O99" s="38"/>
      <c r="P99" s="44"/>
      <c r="Q99" s="38"/>
      <c r="R99" s="38"/>
      <c r="S99" s="38"/>
      <c r="T99" s="297"/>
      <c r="U99" s="297"/>
      <c r="V99" s="297"/>
      <c r="W99" s="297"/>
      <c r="X99" s="379"/>
      <c r="Y99" s="379"/>
      <c r="Z99" s="379"/>
      <c r="AA99" s="379"/>
      <c r="AB99" s="379"/>
      <c r="AC99" s="379"/>
      <c r="AD99" s="297"/>
      <c r="AE99" s="38"/>
      <c r="AF99" s="38"/>
      <c r="AG99" s="38"/>
      <c r="AH99" s="38"/>
      <c r="AI99" s="38"/>
      <c r="AJ99" s="38"/>
      <c r="AK99" s="38"/>
      <c r="AL99" s="38"/>
      <c r="AM99" s="38"/>
      <c r="AN99" s="35"/>
      <c r="AO99" s="35"/>
      <c r="AP99" s="35"/>
      <c r="AQ99" s="35"/>
      <c r="AR99" s="35"/>
      <c r="AS99" s="35"/>
    </row>
    <row r="100" spans="1:45" ht="14.25" customHeight="1" outlineLevel="1" x14ac:dyDescent="0.25">
      <c r="A100" s="364"/>
      <c r="B100" s="1466" t="s">
        <v>545</v>
      </c>
      <c r="C100" s="1467"/>
      <c r="D100" s="1467"/>
      <c r="E100" s="1467"/>
      <c r="F100" s="1467"/>
      <c r="G100" s="1467"/>
      <c r="H100" s="1467"/>
      <c r="I100" s="1474" t="s">
        <v>107</v>
      </c>
      <c r="J100" s="1470"/>
      <c r="K100" s="1352"/>
      <c r="L100" s="1471">
        <f t="shared" si="42"/>
        <v>0</v>
      </c>
      <c r="M100" s="1526" t="str">
        <f>IFERROR(IF((VLOOKUP(N100,Überblick!$M$124:$N$132,2))="ja","ja","nein"),"")</f>
        <v/>
      </c>
      <c r="N100" s="1473"/>
      <c r="O100" s="38">
        <f t="shared" si="43"/>
        <v>0</v>
      </c>
      <c r="P100" s="44">
        <f t="shared" si="44"/>
        <v>0</v>
      </c>
      <c r="Q100" s="38">
        <f>IF(AND(N100&lt;1,I100="ja"),1,0)</f>
        <v>0</v>
      </c>
      <c r="R100" s="38"/>
      <c r="S100" s="38"/>
      <c r="T100" s="297"/>
      <c r="U100" s="297"/>
      <c r="V100" s="297"/>
      <c r="W100" s="297"/>
      <c r="X100" s="379"/>
      <c r="Y100" s="379"/>
      <c r="Z100" s="379"/>
      <c r="AA100" s="379"/>
      <c r="AB100" s="379"/>
      <c r="AC100" s="379"/>
      <c r="AD100" s="297"/>
      <c r="AE100" s="38"/>
      <c r="AF100" s="38"/>
      <c r="AG100" s="38"/>
      <c r="AH100" s="38"/>
      <c r="AI100" s="38"/>
      <c r="AJ100" s="38"/>
      <c r="AK100" s="38"/>
      <c r="AL100" s="38"/>
      <c r="AM100" s="38"/>
      <c r="AN100" s="35"/>
      <c r="AO100" s="35"/>
      <c r="AP100" s="35"/>
      <c r="AQ100" s="35"/>
      <c r="AR100" s="35"/>
      <c r="AS100" s="35"/>
    </row>
    <row r="101" spans="1:45" ht="14.25" customHeight="1" outlineLevel="1" x14ac:dyDescent="0.25">
      <c r="A101" s="364"/>
      <c r="B101" s="1466"/>
      <c r="C101" s="1467"/>
      <c r="D101" s="1467"/>
      <c r="E101" s="1467"/>
      <c r="F101" s="1467"/>
      <c r="G101" s="1467"/>
      <c r="H101" s="1467"/>
      <c r="I101" s="1475"/>
      <c r="J101" s="1470"/>
      <c r="K101" s="1352"/>
      <c r="L101" s="1471"/>
      <c r="M101" s="1507"/>
      <c r="N101" s="1473"/>
      <c r="O101" s="38"/>
      <c r="P101" s="44"/>
      <c r="Q101" s="38"/>
      <c r="R101" s="38"/>
      <c r="S101" s="38"/>
      <c r="T101" s="297"/>
      <c r="U101" s="297"/>
      <c r="V101" s="297"/>
      <c r="W101" s="297"/>
      <c r="X101" s="379"/>
      <c r="Y101" s="379"/>
      <c r="Z101" s="379"/>
      <c r="AA101" s="379"/>
      <c r="AB101" s="379"/>
      <c r="AC101" s="379"/>
      <c r="AD101" s="297"/>
      <c r="AE101" s="38"/>
      <c r="AF101" s="38"/>
      <c r="AG101" s="38"/>
      <c r="AH101" s="38"/>
      <c r="AI101" s="38"/>
      <c r="AJ101" s="38"/>
      <c r="AK101" s="38"/>
      <c r="AL101" s="38"/>
      <c r="AM101" s="38"/>
      <c r="AN101" s="35"/>
      <c r="AO101" s="35"/>
      <c r="AP101" s="35"/>
      <c r="AQ101" s="35"/>
      <c r="AR101" s="35"/>
      <c r="AS101" s="35"/>
    </row>
    <row r="102" spans="1:45" ht="14.25" customHeight="1" outlineLevel="1" x14ac:dyDescent="0.25">
      <c r="A102" s="364"/>
      <c r="B102" s="1466" t="s">
        <v>546</v>
      </c>
      <c r="C102" s="1467"/>
      <c r="D102" s="1467"/>
      <c r="E102" s="1467"/>
      <c r="F102" s="1467"/>
      <c r="G102" s="1467"/>
      <c r="H102" s="1467"/>
      <c r="I102" s="1474" t="s">
        <v>107</v>
      </c>
      <c r="J102" s="1470"/>
      <c r="K102" s="1352"/>
      <c r="L102" s="1471">
        <f t="shared" si="42"/>
        <v>0</v>
      </c>
      <c r="M102" s="1526" t="str">
        <f>IFERROR(IF((VLOOKUP(N102,Überblick!$M$124:$N$132,2))="ja","ja","nein"),"")</f>
        <v/>
      </c>
      <c r="N102" s="1473"/>
      <c r="O102" s="38">
        <f t="shared" si="43"/>
        <v>0</v>
      </c>
      <c r="P102" s="44">
        <f t="shared" si="44"/>
        <v>0</v>
      </c>
      <c r="Q102" s="38">
        <f>IF(AND(N102&lt;1,I102="ja"),1,0)</f>
        <v>0</v>
      </c>
      <c r="R102" s="38"/>
      <c r="S102" s="38"/>
      <c r="T102" s="297"/>
      <c r="U102" s="297"/>
      <c r="V102" s="297"/>
      <c r="W102" s="297"/>
      <c r="X102" s="379"/>
      <c r="Y102" s="379"/>
      <c r="Z102" s="379"/>
      <c r="AA102" s="379"/>
      <c r="AB102" s="379"/>
      <c r="AC102" s="379"/>
      <c r="AD102" s="297"/>
      <c r="AE102" s="38"/>
      <c r="AF102" s="38"/>
      <c r="AG102" s="38"/>
      <c r="AH102" s="38"/>
      <c r="AI102" s="38"/>
      <c r="AJ102" s="38"/>
      <c r="AK102" s="38"/>
      <c r="AL102" s="38"/>
      <c r="AM102" s="38"/>
      <c r="AN102" s="35"/>
      <c r="AO102" s="35"/>
      <c r="AP102" s="35"/>
      <c r="AQ102" s="35"/>
      <c r="AR102" s="35"/>
      <c r="AS102" s="35"/>
    </row>
    <row r="103" spans="1:45" ht="14.25" customHeight="1" outlineLevel="1" x14ac:dyDescent="0.25">
      <c r="A103" s="364"/>
      <c r="B103" s="1466"/>
      <c r="C103" s="1467"/>
      <c r="D103" s="1467"/>
      <c r="E103" s="1467"/>
      <c r="F103" s="1467"/>
      <c r="G103" s="1467"/>
      <c r="H103" s="1467"/>
      <c r="I103" s="1475"/>
      <c r="J103" s="1470"/>
      <c r="K103" s="1352"/>
      <c r="L103" s="1471"/>
      <c r="M103" s="1507"/>
      <c r="N103" s="1473"/>
      <c r="O103" s="38"/>
      <c r="P103" s="44"/>
      <c r="Q103" s="38"/>
      <c r="R103" s="38"/>
      <c r="S103" s="38"/>
      <c r="T103" s="297"/>
      <c r="U103" s="297"/>
      <c r="V103" s="297"/>
      <c r="W103" s="297"/>
      <c r="X103" s="379"/>
      <c r="Y103" s="379"/>
      <c r="Z103" s="379"/>
      <c r="AA103" s="379"/>
      <c r="AB103" s="379"/>
      <c r="AC103" s="379"/>
      <c r="AD103" s="297"/>
      <c r="AE103" s="38"/>
      <c r="AF103" s="38"/>
      <c r="AG103" s="38"/>
      <c r="AH103" s="38"/>
      <c r="AI103" s="38"/>
      <c r="AJ103" s="38"/>
      <c r="AK103" s="38"/>
      <c r="AL103" s="38"/>
      <c r="AM103" s="38"/>
      <c r="AN103" s="35"/>
      <c r="AO103" s="35"/>
      <c r="AP103" s="35"/>
      <c r="AQ103" s="35"/>
      <c r="AR103" s="35"/>
      <c r="AS103" s="35"/>
    </row>
    <row r="104" spans="1:45" ht="14.25" customHeight="1" outlineLevel="1" x14ac:dyDescent="0.25">
      <c r="A104" s="364"/>
      <c r="B104" s="1466" t="s">
        <v>547</v>
      </c>
      <c r="C104" s="1467"/>
      <c r="D104" s="1467"/>
      <c r="E104" s="1467"/>
      <c r="F104" s="1467"/>
      <c r="G104" s="1467"/>
      <c r="H104" s="1467"/>
      <c r="I104" s="1474" t="s">
        <v>107</v>
      </c>
      <c r="J104" s="1470"/>
      <c r="K104" s="1352"/>
      <c r="L104" s="1471">
        <f t="shared" ref="L104" si="45">J104*K104</f>
        <v>0</v>
      </c>
      <c r="M104" s="1526" t="str">
        <f>IFERROR(IF((VLOOKUP(N104,Überblick!$M$124:$N$132,2))="ja","ja","nein"),"")</f>
        <v/>
      </c>
      <c r="N104" s="1473"/>
      <c r="O104" s="38">
        <f t="shared" ref="O104" si="46">IF(AND(I104="ja",J104=""),1,0)</f>
        <v>0</v>
      </c>
      <c r="P104" s="44">
        <f t="shared" si="44"/>
        <v>0</v>
      </c>
      <c r="Q104" s="38">
        <f>IF(AND(N104&lt;1,I104="ja"),1,0)</f>
        <v>0</v>
      </c>
      <c r="R104" s="38"/>
      <c r="S104" s="38"/>
      <c r="T104" s="297"/>
      <c r="U104" s="297"/>
      <c r="V104" s="297"/>
      <c r="W104" s="297"/>
      <c r="X104" s="379"/>
      <c r="Y104" s="379"/>
      <c r="Z104" s="379"/>
      <c r="AA104" s="379"/>
      <c r="AB104" s="379"/>
      <c r="AC104" s="379"/>
      <c r="AD104" s="297"/>
      <c r="AE104" s="38"/>
      <c r="AF104" s="38"/>
      <c r="AG104" s="38"/>
      <c r="AH104" s="38"/>
      <c r="AI104" s="38"/>
      <c r="AJ104" s="38"/>
      <c r="AK104" s="38"/>
      <c r="AL104" s="38"/>
      <c r="AM104" s="38"/>
      <c r="AN104" s="35"/>
      <c r="AO104" s="35"/>
      <c r="AP104" s="35"/>
      <c r="AQ104" s="35"/>
      <c r="AR104" s="35"/>
      <c r="AS104" s="35"/>
    </row>
    <row r="105" spans="1:45" ht="14.25" customHeight="1" outlineLevel="1" x14ac:dyDescent="0.25">
      <c r="A105" s="364"/>
      <c r="B105" s="1466"/>
      <c r="C105" s="1467"/>
      <c r="D105" s="1467"/>
      <c r="E105" s="1467"/>
      <c r="F105" s="1467"/>
      <c r="G105" s="1467"/>
      <c r="H105" s="1467"/>
      <c r="I105" s="1475"/>
      <c r="J105" s="1470"/>
      <c r="K105" s="1352"/>
      <c r="L105" s="1471"/>
      <c r="M105" s="1507"/>
      <c r="N105" s="1473"/>
      <c r="O105" s="38"/>
      <c r="P105" s="44"/>
      <c r="Q105" s="38"/>
      <c r="R105" s="38"/>
      <c r="S105" s="38"/>
      <c r="T105" s="297"/>
      <c r="U105" s="297"/>
      <c r="V105" s="297"/>
      <c r="W105" s="297"/>
      <c r="X105" s="379"/>
      <c r="Y105" s="379"/>
      <c r="Z105" s="379"/>
      <c r="AA105" s="379"/>
      <c r="AB105" s="379"/>
      <c r="AC105" s="379"/>
      <c r="AD105" s="297"/>
      <c r="AE105" s="38"/>
      <c r="AF105" s="38"/>
      <c r="AG105" s="38"/>
      <c r="AH105" s="38"/>
      <c r="AI105" s="38"/>
      <c r="AJ105" s="38"/>
      <c r="AK105" s="38"/>
      <c r="AL105" s="38"/>
      <c r="AM105" s="38"/>
      <c r="AN105" s="35"/>
      <c r="AO105" s="35"/>
      <c r="AP105" s="35"/>
      <c r="AQ105" s="35"/>
      <c r="AR105" s="35"/>
      <c r="AS105" s="35"/>
    </row>
    <row r="106" spans="1:45" ht="14.25" customHeight="1" outlineLevel="1" x14ac:dyDescent="0.25">
      <c r="A106" s="364"/>
      <c r="B106" s="1603" t="s">
        <v>687</v>
      </c>
      <c r="C106" s="1604"/>
      <c r="D106" s="1604"/>
      <c r="E106" s="1604"/>
      <c r="F106" s="1604"/>
      <c r="G106" s="1604"/>
      <c r="H106" s="1605"/>
      <c r="I106" s="1474" t="s">
        <v>106</v>
      </c>
      <c r="J106" s="1470"/>
      <c r="K106" s="1352"/>
      <c r="L106" s="1471">
        <f t="shared" ref="L106" si="47">J106*K106</f>
        <v>0</v>
      </c>
      <c r="M106" s="1526" t="str">
        <f>IFERROR(IF((VLOOKUP(N106,Überblick!$M$124:$N$132,2))="ja","ja","nein"),"")</f>
        <v/>
      </c>
      <c r="N106" s="1473"/>
      <c r="O106" s="38">
        <f t="shared" ref="O106" si="48">IF(AND(I106="ja",J106=""),1,0)</f>
        <v>1</v>
      </c>
      <c r="P106" s="44">
        <f t="shared" si="44"/>
        <v>1</v>
      </c>
      <c r="Q106" s="38">
        <f>IF(AND(N106&lt;1,I106="ja"),1,0)</f>
        <v>1</v>
      </c>
      <c r="R106" s="38"/>
      <c r="S106" s="38"/>
      <c r="T106" s="297"/>
      <c r="U106" s="297"/>
      <c r="V106" s="297"/>
      <c r="W106" s="297"/>
      <c r="X106" s="379"/>
      <c r="Y106" s="379"/>
      <c r="Z106" s="379"/>
      <c r="AA106" s="379"/>
      <c r="AB106" s="379"/>
      <c r="AC106" s="379"/>
      <c r="AD106" s="297"/>
      <c r="AE106" s="38"/>
      <c r="AF106" s="38"/>
      <c r="AG106" s="38"/>
      <c r="AH106" s="38"/>
      <c r="AI106" s="38"/>
      <c r="AJ106" s="38"/>
      <c r="AK106" s="38"/>
      <c r="AL106" s="38"/>
      <c r="AM106" s="38"/>
      <c r="AN106" s="35"/>
      <c r="AO106" s="35"/>
      <c r="AP106" s="35"/>
      <c r="AQ106" s="35"/>
      <c r="AR106" s="35"/>
      <c r="AS106" s="35"/>
    </row>
    <row r="107" spans="1:45" ht="14.25" customHeight="1" outlineLevel="1" x14ac:dyDescent="0.25">
      <c r="A107" s="364"/>
      <c r="B107" s="1606"/>
      <c r="C107" s="1607"/>
      <c r="D107" s="1607"/>
      <c r="E107" s="1607"/>
      <c r="F107" s="1607"/>
      <c r="G107" s="1607"/>
      <c r="H107" s="1608"/>
      <c r="I107" s="1475"/>
      <c r="J107" s="1470"/>
      <c r="K107" s="1352"/>
      <c r="L107" s="1471"/>
      <c r="M107" s="1507"/>
      <c r="N107" s="1473"/>
      <c r="O107" s="38"/>
      <c r="P107" s="44"/>
      <c r="Q107" s="38"/>
      <c r="R107" s="38"/>
      <c r="S107" s="38"/>
      <c r="T107" s="297"/>
      <c r="U107" s="297"/>
      <c r="V107" s="297"/>
      <c r="W107" s="297"/>
      <c r="X107" s="379"/>
      <c r="Y107" s="379"/>
      <c r="Z107" s="379"/>
      <c r="AA107" s="379"/>
      <c r="AB107" s="379"/>
      <c r="AC107" s="379"/>
      <c r="AD107" s="297"/>
      <c r="AE107" s="38"/>
      <c r="AF107" s="38"/>
      <c r="AG107" s="38"/>
      <c r="AH107" s="38"/>
      <c r="AI107" s="38"/>
      <c r="AJ107" s="38"/>
      <c r="AK107" s="38"/>
      <c r="AL107" s="38"/>
      <c r="AM107" s="38"/>
      <c r="AN107" s="35"/>
      <c r="AO107" s="35"/>
      <c r="AP107" s="35"/>
      <c r="AQ107" s="35"/>
      <c r="AR107" s="35"/>
      <c r="AS107" s="35"/>
    </row>
    <row r="108" spans="1:45" ht="14.25" customHeight="1" outlineLevel="1" x14ac:dyDescent="0.25">
      <c r="A108" s="364"/>
      <c r="B108" s="1466"/>
      <c r="C108" s="1467"/>
      <c r="D108" s="1467"/>
      <c r="E108" s="1467"/>
      <c r="F108" s="1467"/>
      <c r="G108" s="1467"/>
      <c r="H108" s="1467"/>
      <c r="I108" s="1474" t="s">
        <v>107</v>
      </c>
      <c r="J108" s="1470"/>
      <c r="K108" s="1352"/>
      <c r="L108" s="1471">
        <f t="shared" ref="L108" si="49">J108*K108</f>
        <v>0</v>
      </c>
      <c r="M108" s="1526" t="str">
        <f>IFERROR(IF((VLOOKUP(N108,Überblick!$M$124:$N$132,2))="ja","ja","nein"),"")</f>
        <v/>
      </c>
      <c r="N108" s="1473"/>
      <c r="O108" s="38">
        <f t="shared" ref="O108" si="50">IF(AND(I108="ja",J108=""),1,0)</f>
        <v>0</v>
      </c>
      <c r="P108" s="44">
        <f t="shared" si="44"/>
        <v>0</v>
      </c>
      <c r="Q108" s="38">
        <f>IF(AND(N108&lt;1,I108="ja"),1,0)</f>
        <v>0</v>
      </c>
      <c r="R108" s="38"/>
      <c r="S108" s="38"/>
      <c r="T108" s="297"/>
      <c r="U108" s="297"/>
      <c r="V108" s="297"/>
      <c r="W108" s="297"/>
      <c r="X108" s="379"/>
      <c r="Y108" s="379"/>
      <c r="Z108" s="379"/>
      <c r="AA108" s="379"/>
      <c r="AB108" s="379"/>
      <c r="AC108" s="379"/>
      <c r="AD108" s="297"/>
      <c r="AE108" s="38"/>
      <c r="AF108" s="38"/>
      <c r="AG108" s="38"/>
      <c r="AH108" s="38"/>
      <c r="AI108" s="38"/>
      <c r="AJ108" s="38"/>
      <c r="AK108" s="38"/>
      <c r="AL108" s="38"/>
      <c r="AM108" s="38"/>
      <c r="AN108" s="35"/>
      <c r="AO108" s="35"/>
      <c r="AP108" s="35"/>
      <c r="AQ108" s="35"/>
      <c r="AR108" s="35"/>
      <c r="AS108" s="35"/>
    </row>
    <row r="109" spans="1:45" ht="14.25" customHeight="1" outlineLevel="1" x14ac:dyDescent="0.25">
      <c r="A109" s="364"/>
      <c r="B109" s="1466"/>
      <c r="C109" s="1467"/>
      <c r="D109" s="1467"/>
      <c r="E109" s="1467"/>
      <c r="F109" s="1467"/>
      <c r="G109" s="1467"/>
      <c r="H109" s="1467"/>
      <c r="I109" s="1475"/>
      <c r="J109" s="1470"/>
      <c r="K109" s="1352"/>
      <c r="L109" s="1471"/>
      <c r="M109" s="1507"/>
      <c r="N109" s="1473"/>
      <c r="O109" s="38"/>
      <c r="P109" s="44"/>
      <c r="Q109" s="38"/>
      <c r="R109" s="38"/>
      <c r="S109" s="38"/>
      <c r="T109" s="297"/>
      <c r="U109" s="297"/>
      <c r="V109" s="297"/>
      <c r="W109" s="297"/>
      <c r="X109" s="379"/>
      <c r="Y109" s="379"/>
      <c r="Z109" s="379"/>
      <c r="AA109" s="379"/>
      <c r="AB109" s="379"/>
      <c r="AC109" s="379"/>
      <c r="AD109" s="297"/>
      <c r="AE109" s="38"/>
      <c r="AF109" s="38"/>
      <c r="AG109" s="38"/>
      <c r="AH109" s="38"/>
      <c r="AI109" s="38"/>
      <c r="AJ109" s="38"/>
      <c r="AK109" s="38"/>
      <c r="AL109" s="38"/>
      <c r="AM109" s="38"/>
      <c r="AN109" s="35"/>
      <c r="AO109" s="35"/>
      <c r="AP109" s="35"/>
      <c r="AQ109" s="35"/>
      <c r="AR109" s="35"/>
      <c r="AS109" s="35"/>
    </row>
    <row r="110" spans="1:45" ht="14.25" customHeight="1" outlineLevel="1" x14ac:dyDescent="0.25">
      <c r="A110" s="364"/>
      <c r="B110" s="1466"/>
      <c r="C110" s="1467"/>
      <c r="D110" s="1467"/>
      <c r="E110" s="1467"/>
      <c r="F110" s="1467"/>
      <c r="G110" s="1467"/>
      <c r="H110" s="1467"/>
      <c r="I110" s="1474" t="s">
        <v>107</v>
      </c>
      <c r="J110" s="1470"/>
      <c r="K110" s="1352"/>
      <c r="L110" s="1471">
        <f t="shared" ref="L110" si="51">J110*K110</f>
        <v>0</v>
      </c>
      <c r="M110" s="1526" t="str">
        <f>IFERROR(IF((VLOOKUP(N110,Überblick!$M$124:$N$132,2))="ja","ja","nein"),"")</f>
        <v/>
      </c>
      <c r="N110" s="1473"/>
      <c r="O110" s="38">
        <f t="shared" ref="O110" si="52">IF(AND(I110="ja",J110=""),1,0)</f>
        <v>0</v>
      </c>
      <c r="P110" s="44">
        <f t="shared" si="44"/>
        <v>0</v>
      </c>
      <c r="Q110" s="38">
        <f>IF(AND(N110&lt;1,I110="ja"),1,0)</f>
        <v>0</v>
      </c>
      <c r="R110" s="38"/>
      <c r="S110" s="38"/>
      <c r="T110" s="297"/>
      <c r="U110" s="297"/>
      <c r="V110" s="297"/>
      <c r="W110" s="297"/>
      <c r="X110" s="379"/>
      <c r="Y110" s="379"/>
      <c r="Z110" s="379"/>
      <c r="AA110" s="379"/>
      <c r="AB110" s="379"/>
      <c r="AC110" s="379"/>
      <c r="AD110" s="297"/>
      <c r="AE110" s="38"/>
      <c r="AF110" s="38"/>
      <c r="AG110" s="38"/>
      <c r="AH110" s="38"/>
      <c r="AI110" s="38"/>
      <c r="AJ110" s="38"/>
      <c r="AK110" s="38"/>
      <c r="AL110" s="38"/>
      <c r="AM110" s="38"/>
      <c r="AN110" s="35"/>
      <c r="AO110" s="35"/>
      <c r="AP110" s="35"/>
      <c r="AQ110" s="35"/>
      <c r="AR110" s="35"/>
      <c r="AS110" s="35"/>
    </row>
    <row r="111" spans="1:45" ht="14.25" customHeight="1" outlineLevel="1" x14ac:dyDescent="0.25">
      <c r="A111" s="364"/>
      <c r="B111" s="1466"/>
      <c r="C111" s="1467"/>
      <c r="D111" s="1467"/>
      <c r="E111" s="1467"/>
      <c r="F111" s="1467"/>
      <c r="G111" s="1467"/>
      <c r="H111" s="1467"/>
      <c r="I111" s="1475"/>
      <c r="J111" s="1470"/>
      <c r="K111" s="1352"/>
      <c r="L111" s="1471"/>
      <c r="M111" s="1507"/>
      <c r="N111" s="1473"/>
      <c r="O111" s="38"/>
      <c r="P111" s="44"/>
      <c r="Q111" s="38"/>
      <c r="R111" s="38"/>
      <c r="S111" s="38"/>
      <c r="T111" s="297"/>
      <c r="U111" s="297"/>
      <c r="V111" s="297"/>
      <c r="W111" s="297"/>
      <c r="X111" s="379"/>
      <c r="Y111" s="379"/>
      <c r="Z111" s="379"/>
      <c r="AA111" s="379"/>
      <c r="AB111" s="379"/>
      <c r="AC111" s="379"/>
      <c r="AD111" s="297"/>
      <c r="AE111" s="38"/>
      <c r="AF111" s="38"/>
      <c r="AG111" s="38"/>
      <c r="AH111" s="38"/>
      <c r="AI111" s="38"/>
      <c r="AJ111" s="38"/>
      <c r="AK111" s="38"/>
      <c r="AL111" s="38"/>
      <c r="AM111" s="38"/>
      <c r="AN111" s="35"/>
      <c r="AO111" s="35"/>
      <c r="AP111" s="35"/>
      <c r="AQ111" s="35"/>
      <c r="AR111" s="35"/>
      <c r="AS111" s="35"/>
    </row>
    <row r="112" spans="1:45" ht="14.25" customHeight="1" outlineLevel="1" x14ac:dyDescent="0.25">
      <c r="A112" s="364"/>
      <c r="B112" s="1466"/>
      <c r="C112" s="1467"/>
      <c r="D112" s="1467"/>
      <c r="E112" s="1467"/>
      <c r="F112" s="1467"/>
      <c r="G112" s="1467"/>
      <c r="H112" s="1467"/>
      <c r="I112" s="1474" t="s">
        <v>107</v>
      </c>
      <c r="J112" s="1470"/>
      <c r="K112" s="1352"/>
      <c r="L112" s="1471">
        <f t="shared" ref="L112" si="53">J112*K112</f>
        <v>0</v>
      </c>
      <c r="M112" s="1526" t="str">
        <f>IFERROR(IF((VLOOKUP(N112,Überblick!$M$124:$N$132,2))="ja","ja","nein"),"")</f>
        <v/>
      </c>
      <c r="N112" s="1473"/>
      <c r="O112" s="38">
        <f t="shared" ref="O112" si="54">IF(AND(I112="ja",J112=""),1,0)</f>
        <v>0</v>
      </c>
      <c r="P112" s="44">
        <f t="shared" si="44"/>
        <v>0</v>
      </c>
      <c r="Q112" s="38">
        <f>IF(AND(N112&lt;1,I112="ja"),1,0)</f>
        <v>0</v>
      </c>
      <c r="R112" s="38"/>
      <c r="S112" s="38"/>
      <c r="T112" s="297"/>
      <c r="U112" s="297"/>
      <c r="V112" s="297"/>
      <c r="W112" s="297"/>
      <c r="X112" s="379"/>
      <c r="Y112" s="379"/>
      <c r="Z112" s="379"/>
      <c r="AA112" s="379"/>
      <c r="AB112" s="379"/>
      <c r="AC112" s="379"/>
      <c r="AD112" s="297"/>
      <c r="AE112" s="38"/>
      <c r="AF112" s="38"/>
      <c r="AG112" s="38"/>
      <c r="AH112" s="38"/>
      <c r="AI112" s="38"/>
      <c r="AJ112" s="38"/>
      <c r="AK112" s="38"/>
      <c r="AL112" s="38"/>
      <c r="AM112" s="38"/>
      <c r="AN112" s="35"/>
      <c r="AO112" s="35"/>
      <c r="AP112" s="35"/>
      <c r="AQ112" s="35"/>
      <c r="AR112" s="35"/>
      <c r="AS112" s="35"/>
    </row>
    <row r="113" spans="1:45" ht="14.25" customHeight="1" outlineLevel="1" x14ac:dyDescent="0.25">
      <c r="A113" s="364"/>
      <c r="B113" s="1466"/>
      <c r="C113" s="1467"/>
      <c r="D113" s="1467"/>
      <c r="E113" s="1467"/>
      <c r="F113" s="1467"/>
      <c r="G113" s="1467"/>
      <c r="H113" s="1467"/>
      <c r="I113" s="1475"/>
      <c r="J113" s="1470"/>
      <c r="K113" s="1352"/>
      <c r="L113" s="1471"/>
      <c r="M113" s="1507"/>
      <c r="N113" s="1473"/>
      <c r="O113" s="38"/>
      <c r="P113" s="44"/>
      <c r="Q113" s="38"/>
      <c r="R113" s="38"/>
      <c r="S113" s="38"/>
      <c r="T113" s="297"/>
      <c r="U113" s="297"/>
      <c r="V113" s="297"/>
      <c r="W113" s="297"/>
      <c r="X113" s="379"/>
      <c r="Y113" s="379"/>
      <c r="Z113" s="379"/>
      <c r="AA113" s="379"/>
      <c r="AB113" s="379"/>
      <c r="AC113" s="379"/>
      <c r="AD113" s="297"/>
      <c r="AE113" s="38"/>
      <c r="AF113" s="38"/>
      <c r="AG113" s="38"/>
      <c r="AH113" s="38"/>
      <c r="AI113" s="38"/>
      <c r="AJ113" s="38"/>
      <c r="AK113" s="38"/>
      <c r="AL113" s="38"/>
      <c r="AM113" s="38"/>
      <c r="AN113" s="35"/>
      <c r="AO113" s="35"/>
      <c r="AP113" s="35"/>
      <c r="AQ113" s="35"/>
      <c r="AR113" s="35"/>
      <c r="AS113" s="35"/>
    </row>
    <row r="114" spans="1:45" ht="14.25" customHeight="1" outlineLevel="1" x14ac:dyDescent="0.25">
      <c r="A114" s="364"/>
      <c r="B114" s="1466"/>
      <c r="C114" s="1467"/>
      <c r="D114" s="1467"/>
      <c r="E114" s="1467"/>
      <c r="F114" s="1467"/>
      <c r="G114" s="1467"/>
      <c r="H114" s="1467"/>
      <c r="I114" s="1469" t="s">
        <v>107</v>
      </c>
      <c r="J114" s="1470"/>
      <c r="K114" s="1352"/>
      <c r="L114" s="1471">
        <f t="shared" si="42"/>
        <v>0</v>
      </c>
      <c r="M114" s="1601" t="str">
        <f>IFERROR(IF((VLOOKUP(N114,Überblick!$M$124:$N$132,2))="ja","ja","nein"),"")</f>
        <v/>
      </c>
      <c r="N114" s="1473"/>
      <c r="O114" s="38">
        <f t="shared" si="43"/>
        <v>0</v>
      </c>
      <c r="P114" s="44">
        <f t="shared" si="44"/>
        <v>0</v>
      </c>
      <c r="Q114" s="38">
        <f>IF(AND(N114&lt;1,I114="ja"),1,0)</f>
        <v>0</v>
      </c>
      <c r="R114" s="38"/>
      <c r="S114" s="38"/>
      <c r="T114" s="297"/>
      <c r="U114" s="297"/>
      <c r="V114" s="297"/>
      <c r="W114" s="297"/>
      <c r="X114" s="379"/>
      <c r="Y114" s="379"/>
      <c r="Z114" s="379"/>
      <c r="AA114" s="379"/>
      <c r="AB114" s="379"/>
      <c r="AC114" s="379"/>
      <c r="AD114" s="297"/>
      <c r="AE114" s="38"/>
      <c r="AF114" s="38"/>
      <c r="AG114" s="38"/>
      <c r="AH114" s="38"/>
      <c r="AI114" s="38"/>
      <c r="AJ114" s="38"/>
      <c r="AK114" s="38"/>
      <c r="AL114" s="38"/>
      <c r="AM114" s="38"/>
      <c r="AN114" s="35"/>
      <c r="AO114" s="35"/>
      <c r="AP114" s="35"/>
      <c r="AQ114" s="35"/>
      <c r="AR114" s="35"/>
      <c r="AS114" s="35"/>
    </row>
    <row r="115" spans="1:45" ht="14.25" customHeight="1" outlineLevel="1" thickBot="1" x14ac:dyDescent="0.3">
      <c r="A115" s="364"/>
      <c r="B115" s="1476"/>
      <c r="C115" s="1477"/>
      <c r="D115" s="1477"/>
      <c r="E115" s="1477"/>
      <c r="F115" s="1477"/>
      <c r="G115" s="1477"/>
      <c r="H115" s="1477"/>
      <c r="I115" s="1478"/>
      <c r="J115" s="1479"/>
      <c r="K115" s="1359"/>
      <c r="L115" s="1480"/>
      <c r="M115" s="1602"/>
      <c r="N115" s="1482"/>
      <c r="O115" s="38"/>
      <c r="P115" s="44"/>
      <c r="Q115" s="38"/>
      <c r="R115" s="38"/>
      <c r="S115" s="38"/>
      <c r="T115" s="297"/>
      <c r="U115" s="297"/>
      <c r="V115" s="297"/>
      <c r="W115" s="297"/>
      <c r="X115" s="379"/>
      <c r="Y115" s="379"/>
      <c r="Z115" s="379"/>
      <c r="AA115" s="379"/>
      <c r="AB115" s="379"/>
      <c r="AC115" s="379"/>
      <c r="AD115" s="297"/>
      <c r="AE115" s="38"/>
      <c r="AF115" s="38"/>
      <c r="AG115" s="38"/>
      <c r="AH115" s="38"/>
      <c r="AI115" s="38"/>
      <c r="AJ115" s="38"/>
      <c r="AK115" s="38"/>
      <c r="AL115" s="38"/>
      <c r="AM115" s="38"/>
      <c r="AN115" s="35"/>
      <c r="AO115" s="35"/>
      <c r="AP115" s="35"/>
      <c r="AQ115" s="35"/>
      <c r="AR115" s="35"/>
      <c r="AS115" s="35"/>
    </row>
    <row r="116" spans="1:45" ht="14.25" customHeight="1" x14ac:dyDescent="0.25">
      <c r="A116" s="364"/>
      <c r="B116" s="136"/>
      <c r="C116" s="136"/>
      <c r="D116" s="136"/>
      <c r="E116" s="136"/>
      <c r="F116" s="136"/>
      <c r="G116" s="136"/>
      <c r="H116" s="136"/>
      <c r="I116" s="137"/>
      <c r="J116" s="307"/>
      <c r="K116" s="307"/>
      <c r="L116" s="58">
        <f>SUM(L74:L115)</f>
        <v>0</v>
      </c>
      <c r="M116" s="44"/>
      <c r="N116" s="95"/>
      <c r="O116" s="38"/>
      <c r="P116" s="44"/>
      <c r="Q116" s="38"/>
      <c r="R116" s="38"/>
      <c r="S116" s="38"/>
      <c r="T116" s="38"/>
      <c r="U116" s="38"/>
      <c r="V116" s="38"/>
      <c r="W116" s="38"/>
      <c r="Z116" s="622"/>
      <c r="AA116" s="622"/>
      <c r="AD116" s="38"/>
      <c r="AE116" s="38"/>
      <c r="AF116" s="38"/>
      <c r="AG116" s="38"/>
      <c r="AH116" s="38"/>
      <c r="AI116" s="38"/>
      <c r="AJ116" s="38"/>
      <c r="AK116" s="38"/>
      <c r="AL116" s="38"/>
      <c r="AM116" s="38"/>
      <c r="AN116" s="35"/>
      <c r="AO116" s="35"/>
      <c r="AP116" s="35"/>
      <c r="AQ116" s="35"/>
      <c r="AR116" s="35"/>
      <c r="AS116" s="35"/>
    </row>
    <row r="117" spans="1:45" ht="14.25" hidden="1" customHeight="1" outlineLevel="1" x14ac:dyDescent="0.25">
      <c r="A117" s="364"/>
      <c r="B117" s="1082" t="s">
        <v>548</v>
      </c>
      <c r="C117" s="1083"/>
      <c r="D117" s="1083"/>
      <c r="E117" s="1083"/>
      <c r="F117" s="1083"/>
      <c r="G117" s="1083"/>
      <c r="H117" s="1322"/>
      <c r="I117" s="1027" t="s">
        <v>164</v>
      </c>
      <c r="J117" s="1527" t="s">
        <v>504</v>
      </c>
      <c r="K117" s="1483" t="s">
        <v>505</v>
      </c>
      <c r="L117" s="1485" t="s">
        <v>549</v>
      </c>
      <c r="M117" s="1483" t="s">
        <v>169</v>
      </c>
      <c r="N117" s="1558" t="s">
        <v>170</v>
      </c>
      <c r="O117" s="38"/>
      <c r="P117" s="44"/>
      <c r="Q117" s="38"/>
      <c r="R117" s="38"/>
      <c r="S117" s="38"/>
      <c r="T117" s="38"/>
      <c r="U117" s="38"/>
      <c r="V117" s="38"/>
      <c r="W117" s="38"/>
      <c r="Z117" s="622"/>
      <c r="AA117" s="622"/>
      <c r="AD117" s="38"/>
      <c r="AE117" s="38"/>
      <c r="AF117" s="38"/>
      <c r="AG117" s="38"/>
      <c r="AH117" s="38"/>
      <c r="AI117" s="38"/>
      <c r="AJ117" s="38"/>
      <c r="AK117" s="38"/>
      <c r="AL117" s="38"/>
      <c r="AM117" s="38"/>
      <c r="AN117" s="35"/>
      <c r="AO117" s="35"/>
      <c r="AP117" s="35"/>
      <c r="AQ117" s="35"/>
      <c r="AR117" s="35"/>
      <c r="AS117" s="35"/>
    </row>
    <row r="118" spans="1:45" ht="14.25" hidden="1" customHeight="1" outlineLevel="1" x14ac:dyDescent="0.25">
      <c r="A118" s="364"/>
      <c r="B118" s="1084"/>
      <c r="C118" s="1085"/>
      <c r="D118" s="1085"/>
      <c r="E118" s="1085"/>
      <c r="F118" s="1085"/>
      <c r="G118" s="1085"/>
      <c r="H118" s="1323"/>
      <c r="I118" s="1028"/>
      <c r="J118" s="1528"/>
      <c r="K118" s="1484"/>
      <c r="L118" s="1486"/>
      <c r="M118" s="1484"/>
      <c r="N118" s="1559"/>
      <c r="O118" s="38"/>
      <c r="P118" s="44"/>
      <c r="Q118" s="38"/>
      <c r="R118" s="38"/>
      <c r="S118" s="38"/>
      <c r="T118" s="38"/>
      <c r="U118" s="38"/>
      <c r="V118" s="38"/>
      <c r="W118" s="38"/>
      <c r="Z118" s="622"/>
      <c r="AA118" s="622"/>
      <c r="AD118" s="38"/>
      <c r="AE118" s="38"/>
      <c r="AF118" s="38"/>
      <c r="AG118" s="38"/>
      <c r="AH118" s="38"/>
      <c r="AI118" s="38"/>
      <c r="AJ118" s="38"/>
      <c r="AK118" s="38"/>
      <c r="AL118" s="38"/>
      <c r="AM118" s="38"/>
      <c r="AN118" s="35"/>
      <c r="AO118" s="35"/>
      <c r="AP118" s="35"/>
      <c r="AQ118" s="35"/>
      <c r="AR118" s="35"/>
      <c r="AS118" s="35"/>
    </row>
    <row r="119" spans="1:45" ht="14.25" hidden="1" customHeight="1" outlineLevel="1" thickBot="1" x14ac:dyDescent="0.3">
      <c r="A119" s="364"/>
      <c r="B119" s="1086"/>
      <c r="C119" s="1087"/>
      <c r="D119" s="1087"/>
      <c r="E119" s="1087"/>
      <c r="F119" s="1087"/>
      <c r="G119" s="1087"/>
      <c r="H119" s="1324"/>
      <c r="I119" s="1029"/>
      <c r="J119" s="1528"/>
      <c r="K119" s="1488"/>
      <c r="L119" s="1486"/>
      <c r="M119" s="1488"/>
      <c r="N119" s="1560"/>
      <c r="O119" s="38"/>
      <c r="P119" s="44"/>
      <c r="Q119" s="38"/>
      <c r="R119" s="38"/>
      <c r="S119" s="38"/>
      <c r="T119" s="38"/>
      <c r="U119" s="38"/>
      <c r="V119" s="38"/>
      <c r="W119" s="38"/>
      <c r="Z119" s="622"/>
      <c r="AA119" s="622"/>
      <c r="AD119" s="38"/>
      <c r="AE119" s="38"/>
      <c r="AF119" s="38"/>
      <c r="AG119" s="38"/>
      <c r="AH119" s="38"/>
      <c r="AI119" s="38"/>
      <c r="AJ119" s="38"/>
      <c r="AK119" s="38"/>
      <c r="AL119" s="38"/>
      <c r="AM119" s="38"/>
      <c r="AN119" s="35"/>
      <c r="AO119" s="35"/>
      <c r="AP119" s="35"/>
      <c r="AQ119" s="35"/>
      <c r="AR119" s="35"/>
      <c r="AS119" s="35"/>
    </row>
    <row r="120" spans="1:45" ht="14.25" hidden="1" customHeight="1" outlineLevel="1" x14ac:dyDescent="0.25">
      <c r="A120" s="364"/>
      <c r="B120" s="1492" t="s">
        <v>550</v>
      </c>
      <c r="C120" s="1493"/>
      <c r="D120" s="1493"/>
      <c r="E120" s="1493"/>
      <c r="F120" s="1493"/>
      <c r="G120" s="1493"/>
      <c r="H120" s="1494"/>
      <c r="I120" s="1589" t="s">
        <v>107</v>
      </c>
      <c r="J120" s="1501"/>
      <c r="K120" s="1504"/>
      <c r="L120" s="1123">
        <f>J120*K120</f>
        <v>0</v>
      </c>
      <c r="M120" s="1600" t="str">
        <f>IFERROR(IF((VLOOKUP(N120,Überblick!$M$124:$N$132,2))="ja","ja","nein"),"")</f>
        <v/>
      </c>
      <c r="N120" s="1508"/>
      <c r="O120" s="38">
        <f>IF(AND(I120="ja",J120=""),1,0)</f>
        <v>0</v>
      </c>
      <c r="P120" s="44">
        <f t="shared" si="44"/>
        <v>0</v>
      </c>
      <c r="Q120" s="38">
        <f>IF(AND(N120&lt;1,I120="ja"),1,0)</f>
        <v>0</v>
      </c>
      <c r="R120" s="38"/>
      <c r="S120" s="38"/>
      <c r="T120" s="38"/>
      <c r="U120" s="38"/>
      <c r="V120" s="38"/>
      <c r="W120" s="38"/>
      <c r="Z120" s="622"/>
      <c r="AA120" s="622"/>
      <c r="AD120" s="38"/>
      <c r="AE120" s="38"/>
      <c r="AF120" s="38"/>
      <c r="AG120" s="38"/>
      <c r="AH120" s="38"/>
      <c r="AI120" s="38"/>
      <c r="AJ120" s="38"/>
      <c r="AK120" s="38"/>
      <c r="AL120" s="38"/>
      <c r="AM120" s="38"/>
      <c r="AN120" s="35"/>
      <c r="AO120" s="35"/>
      <c r="AP120" s="35"/>
      <c r="AQ120" s="35"/>
      <c r="AR120" s="35"/>
      <c r="AS120" s="35"/>
    </row>
    <row r="121" spans="1:45" ht="14.25" hidden="1" customHeight="1" outlineLevel="1" x14ac:dyDescent="0.25">
      <c r="A121" s="364"/>
      <c r="B121" s="1495"/>
      <c r="C121" s="1496"/>
      <c r="D121" s="1496"/>
      <c r="E121" s="1496"/>
      <c r="F121" s="1496"/>
      <c r="G121" s="1496"/>
      <c r="H121" s="1497"/>
      <c r="I121" s="1474"/>
      <c r="J121" s="1502"/>
      <c r="K121" s="1505"/>
      <c r="L121" s="1125"/>
      <c r="M121" s="1526"/>
      <c r="N121" s="1509"/>
      <c r="O121" s="38"/>
      <c r="P121" s="44"/>
      <c r="Q121" s="38"/>
      <c r="R121" s="38"/>
      <c r="S121" s="38"/>
      <c r="T121" s="38"/>
      <c r="U121" s="38"/>
      <c r="V121" s="38"/>
      <c r="W121" s="38"/>
      <c r="Z121" s="622"/>
      <c r="AA121" s="622"/>
      <c r="AD121" s="38"/>
      <c r="AE121" s="38"/>
      <c r="AF121" s="38"/>
      <c r="AG121" s="38"/>
      <c r="AH121" s="38"/>
      <c r="AI121" s="38"/>
      <c r="AJ121" s="38"/>
      <c r="AK121" s="38"/>
      <c r="AL121" s="38"/>
      <c r="AM121" s="38"/>
      <c r="AN121" s="35"/>
      <c r="AO121" s="35"/>
      <c r="AP121" s="35"/>
      <c r="AQ121" s="35"/>
      <c r="AR121" s="35"/>
      <c r="AS121" s="35"/>
    </row>
    <row r="122" spans="1:45" ht="14.25" hidden="1" customHeight="1" outlineLevel="1" x14ac:dyDescent="0.25">
      <c r="A122" s="364"/>
      <c r="B122" s="1498"/>
      <c r="C122" s="1499"/>
      <c r="D122" s="1499"/>
      <c r="E122" s="1499"/>
      <c r="F122" s="1499"/>
      <c r="G122" s="1499"/>
      <c r="H122" s="1500"/>
      <c r="I122" s="1475"/>
      <c r="J122" s="1503"/>
      <c r="K122" s="1419"/>
      <c r="L122" s="1506"/>
      <c r="M122" s="1507"/>
      <c r="N122" s="1510"/>
      <c r="O122" s="38"/>
      <c r="P122" s="44"/>
      <c r="Q122" s="38"/>
      <c r="R122" s="38"/>
      <c r="S122" s="38"/>
      <c r="T122" s="38"/>
      <c r="U122" s="38"/>
      <c r="V122" s="38"/>
      <c r="W122" s="38"/>
      <c r="AA122" s="622"/>
      <c r="AD122" s="38"/>
      <c r="AE122" s="38"/>
      <c r="AF122" s="38"/>
      <c r="AG122" s="38"/>
      <c r="AH122" s="38"/>
      <c r="AI122" s="38"/>
      <c r="AJ122" s="38"/>
      <c r="AK122" s="38"/>
      <c r="AL122" s="38"/>
      <c r="AM122" s="38"/>
      <c r="AN122" s="35"/>
      <c r="AO122" s="35"/>
      <c r="AP122" s="35"/>
      <c r="AQ122" s="35"/>
      <c r="AR122" s="35"/>
      <c r="AS122" s="35"/>
    </row>
    <row r="123" spans="1:45" ht="14.25" hidden="1" customHeight="1" outlineLevel="1" x14ac:dyDescent="0.25">
      <c r="A123" s="364"/>
      <c r="B123" s="1518" t="s">
        <v>551</v>
      </c>
      <c r="C123" s="1519"/>
      <c r="D123" s="1519"/>
      <c r="E123" s="1519"/>
      <c r="F123" s="1519"/>
      <c r="G123" s="1519"/>
      <c r="H123" s="1520"/>
      <c r="I123" s="1474" t="s">
        <v>107</v>
      </c>
      <c r="J123" s="1470"/>
      <c r="K123" s="1352"/>
      <c r="L123" s="1471">
        <f>J123*K123</f>
        <v>0</v>
      </c>
      <c r="M123" s="1472" t="str">
        <f>IFERROR(IF((VLOOKUP(N123,Überblick!$M$124:$N$132,2))="ja","ja","nein"),"")</f>
        <v/>
      </c>
      <c r="N123" s="1515"/>
      <c r="O123" s="38">
        <f t="shared" ref="O123" si="55">IF(AND(I123="ja",J123=""),1,0)</f>
        <v>0</v>
      </c>
      <c r="P123" s="44">
        <f t="shared" si="44"/>
        <v>0</v>
      </c>
      <c r="Q123" s="38">
        <f>IF(AND(N123&lt;1,I123="ja"),1,0)</f>
        <v>0</v>
      </c>
      <c r="R123" s="38"/>
      <c r="S123" s="38"/>
      <c r="T123" s="38"/>
      <c r="U123" s="38"/>
      <c r="V123" s="38"/>
      <c r="W123" s="38"/>
      <c r="AA123" s="119"/>
      <c r="AB123" s="119"/>
      <c r="AD123" s="38"/>
      <c r="AE123" s="38"/>
      <c r="AF123" s="38"/>
      <c r="AG123" s="38"/>
      <c r="AH123" s="38"/>
      <c r="AI123" s="38"/>
      <c r="AJ123" s="38"/>
      <c r="AK123" s="38"/>
      <c r="AL123" s="38"/>
      <c r="AM123" s="38"/>
    </row>
    <row r="124" spans="1:45" ht="14.25" hidden="1" customHeight="1" outlineLevel="1" x14ac:dyDescent="0.25">
      <c r="A124" s="364"/>
      <c r="B124" s="1495"/>
      <c r="C124" s="1496"/>
      <c r="D124" s="1496"/>
      <c r="E124" s="1496"/>
      <c r="F124" s="1496"/>
      <c r="G124" s="1496"/>
      <c r="H124" s="1497"/>
      <c r="I124" s="1475"/>
      <c r="J124" s="1470"/>
      <c r="K124" s="1352"/>
      <c r="L124" s="1471"/>
      <c r="M124" s="1472"/>
      <c r="N124" s="1509"/>
      <c r="O124" s="38"/>
      <c r="P124" s="44"/>
      <c r="Q124" s="38"/>
      <c r="R124" s="38"/>
      <c r="S124" s="38"/>
      <c r="T124" s="38"/>
      <c r="U124" s="38"/>
      <c r="V124" s="38"/>
      <c r="W124" s="38"/>
      <c r="Z124" s="625"/>
      <c r="AA124" s="622"/>
      <c r="AD124" s="38"/>
      <c r="AE124" s="38"/>
      <c r="AF124" s="38"/>
      <c r="AG124" s="38"/>
      <c r="AH124" s="38"/>
      <c r="AI124" s="38"/>
      <c r="AJ124" s="38"/>
      <c r="AK124" s="38"/>
      <c r="AL124" s="38"/>
      <c r="AM124" s="38"/>
      <c r="AQ124" s="35"/>
    </row>
    <row r="125" spans="1:45" ht="14.25" hidden="1" customHeight="1" outlineLevel="1" x14ac:dyDescent="0.25">
      <c r="A125" s="364"/>
      <c r="B125" s="1518" t="s">
        <v>552</v>
      </c>
      <c r="C125" s="1519"/>
      <c r="D125" s="1519"/>
      <c r="E125" s="1519"/>
      <c r="F125" s="1519"/>
      <c r="G125" s="1519"/>
      <c r="H125" s="1520"/>
      <c r="I125" s="1474" t="s">
        <v>107</v>
      </c>
      <c r="J125" s="1470"/>
      <c r="K125" s="1352"/>
      <c r="L125" s="1471">
        <f>J125*K125</f>
        <v>0</v>
      </c>
      <c r="M125" s="1472" t="str">
        <f>IFERROR(IF((VLOOKUP(N125,Überblick!$M$124:$N$132,2))="ja","ja","nein"),"")</f>
        <v/>
      </c>
      <c r="N125" s="1515"/>
      <c r="O125" s="38">
        <f t="shared" ref="O125" si="56">IF(AND(I125="ja",J125=""),1,0)</f>
        <v>0</v>
      </c>
      <c r="P125" s="44">
        <f t="shared" si="44"/>
        <v>0</v>
      </c>
      <c r="Q125" s="38">
        <f>IF(AND(N125&lt;1,I125="ja"),1,0)</f>
        <v>0</v>
      </c>
      <c r="R125" s="38"/>
      <c r="S125" s="38"/>
      <c r="T125" s="38"/>
      <c r="U125" s="38"/>
      <c r="V125" s="38"/>
      <c r="W125" s="38"/>
      <c r="AA125" s="119"/>
      <c r="AB125" s="119"/>
      <c r="AD125" s="38"/>
      <c r="AE125" s="38"/>
      <c r="AF125" s="38"/>
      <c r="AG125" s="38"/>
      <c r="AH125" s="38"/>
      <c r="AI125" s="38"/>
      <c r="AJ125" s="38"/>
      <c r="AK125" s="38"/>
      <c r="AL125" s="38"/>
      <c r="AM125" s="38"/>
    </row>
    <row r="126" spans="1:45" ht="14.25" hidden="1" customHeight="1" outlineLevel="1" x14ac:dyDescent="0.25">
      <c r="A126" s="364"/>
      <c r="B126" s="1495"/>
      <c r="C126" s="1496"/>
      <c r="D126" s="1496"/>
      <c r="E126" s="1496"/>
      <c r="F126" s="1496"/>
      <c r="G126" s="1496"/>
      <c r="H126" s="1497"/>
      <c r="I126" s="1475"/>
      <c r="J126" s="1470"/>
      <c r="K126" s="1352"/>
      <c r="L126" s="1471"/>
      <c r="M126" s="1472"/>
      <c r="N126" s="1509"/>
      <c r="O126" s="38"/>
      <c r="P126" s="44"/>
      <c r="Q126" s="38"/>
      <c r="R126" s="38"/>
      <c r="S126" s="38"/>
      <c r="T126" s="38"/>
      <c r="U126" s="38"/>
      <c r="V126" s="38"/>
      <c r="W126" s="38"/>
      <c r="Z126" s="625"/>
      <c r="AA126" s="622"/>
      <c r="AD126" s="38"/>
      <c r="AE126" s="38"/>
      <c r="AF126" s="38"/>
      <c r="AG126" s="38"/>
      <c r="AH126" s="38"/>
      <c r="AI126" s="38"/>
      <c r="AJ126" s="38"/>
      <c r="AK126" s="38"/>
      <c r="AL126" s="38"/>
      <c r="AM126" s="38"/>
      <c r="AQ126" s="35"/>
    </row>
    <row r="127" spans="1:45" ht="14.25" hidden="1" customHeight="1" outlineLevel="1" x14ac:dyDescent="0.25">
      <c r="A127" s="364"/>
      <c r="B127" s="1518"/>
      <c r="C127" s="1519"/>
      <c r="D127" s="1519"/>
      <c r="E127" s="1519"/>
      <c r="F127" s="1519"/>
      <c r="G127" s="1519"/>
      <c r="H127" s="1520"/>
      <c r="I127" s="1474" t="s">
        <v>107</v>
      </c>
      <c r="J127" s="1470"/>
      <c r="K127" s="1352"/>
      <c r="L127" s="1471">
        <f>J127*K127</f>
        <v>0</v>
      </c>
      <c r="M127" s="1472" t="str">
        <f>IFERROR(IF((VLOOKUP(N127,Überblick!$M$124:$N$132,2))="ja","ja","nein"),"")</f>
        <v/>
      </c>
      <c r="N127" s="1515"/>
      <c r="O127" s="38">
        <f t="shared" ref="O127" si="57">IF(AND(I127="ja",J127=""),1,0)</f>
        <v>0</v>
      </c>
      <c r="P127" s="44">
        <f t="shared" si="44"/>
        <v>0</v>
      </c>
      <c r="Q127" s="38">
        <f>IF(AND(N127&lt;1,I127="ja"),1,0)</f>
        <v>0</v>
      </c>
      <c r="R127" s="38"/>
      <c r="S127" s="38"/>
      <c r="T127" s="38"/>
      <c r="U127" s="38"/>
      <c r="V127" s="38"/>
      <c r="W127" s="38"/>
      <c r="AA127" s="119"/>
      <c r="AB127" s="119"/>
      <c r="AD127" s="38"/>
      <c r="AE127" s="38"/>
      <c r="AF127" s="38"/>
      <c r="AG127" s="38"/>
      <c r="AH127" s="38"/>
      <c r="AI127" s="38"/>
      <c r="AJ127" s="38"/>
      <c r="AK127" s="38"/>
      <c r="AL127" s="38"/>
      <c r="AM127" s="38"/>
    </row>
    <row r="128" spans="1:45" ht="14.25" hidden="1" customHeight="1" outlineLevel="1" x14ac:dyDescent="0.25">
      <c r="A128" s="364"/>
      <c r="B128" s="1495"/>
      <c r="C128" s="1496"/>
      <c r="D128" s="1496"/>
      <c r="E128" s="1496"/>
      <c r="F128" s="1496"/>
      <c r="G128" s="1496"/>
      <c r="H128" s="1497"/>
      <c r="I128" s="1475"/>
      <c r="J128" s="1470"/>
      <c r="K128" s="1352"/>
      <c r="L128" s="1471"/>
      <c r="M128" s="1472"/>
      <c r="N128" s="1509"/>
      <c r="O128" s="38"/>
      <c r="P128" s="44"/>
      <c r="Q128" s="38"/>
      <c r="R128" s="38"/>
      <c r="S128" s="38"/>
      <c r="T128" s="38"/>
      <c r="U128" s="38"/>
      <c r="V128" s="38"/>
      <c r="W128" s="38"/>
      <c r="Z128" s="625"/>
      <c r="AA128" s="622"/>
      <c r="AD128" s="38"/>
      <c r="AE128" s="38"/>
      <c r="AF128" s="38"/>
      <c r="AG128" s="38"/>
      <c r="AH128" s="38"/>
      <c r="AI128" s="38"/>
      <c r="AJ128" s="38"/>
      <c r="AK128" s="38"/>
      <c r="AL128" s="38"/>
      <c r="AM128" s="38"/>
      <c r="AQ128" s="35"/>
    </row>
    <row r="129" spans="1:43" ht="14.25" hidden="1" customHeight="1" outlineLevel="1" x14ac:dyDescent="0.25">
      <c r="A129" s="364"/>
      <c r="B129" s="1518"/>
      <c r="C129" s="1519"/>
      <c r="D129" s="1519"/>
      <c r="E129" s="1519"/>
      <c r="F129" s="1519"/>
      <c r="G129" s="1519"/>
      <c r="H129" s="1520"/>
      <c r="I129" s="1474" t="s">
        <v>107</v>
      </c>
      <c r="J129" s="1470"/>
      <c r="K129" s="1352"/>
      <c r="L129" s="1471">
        <f>J129*K129</f>
        <v>0</v>
      </c>
      <c r="M129" s="1472" t="str">
        <f>IFERROR(IF((VLOOKUP(N129,Überblick!$M$124:$N$132,2))="ja","ja","nein"),"")</f>
        <v/>
      </c>
      <c r="N129" s="1515"/>
      <c r="O129" s="38">
        <f t="shared" ref="O129:O154" si="58">IF(AND(I129="ja",J129=""),1,0)</f>
        <v>0</v>
      </c>
      <c r="P129" s="44">
        <f t="shared" si="44"/>
        <v>0</v>
      </c>
      <c r="Q129" s="38">
        <f>IF(AND(N129&lt;1,I129="ja"),1,0)</f>
        <v>0</v>
      </c>
      <c r="R129" s="38"/>
      <c r="S129" s="38"/>
      <c r="T129" s="38"/>
      <c r="U129" s="38"/>
      <c r="V129" s="38"/>
      <c r="W129" s="38"/>
      <c r="AA129" s="119"/>
      <c r="AB129" s="119"/>
      <c r="AD129" s="38"/>
      <c r="AE129" s="38"/>
      <c r="AF129" s="38"/>
      <c r="AG129" s="38"/>
      <c r="AH129" s="38"/>
      <c r="AI129" s="38"/>
      <c r="AJ129" s="38"/>
      <c r="AK129" s="38"/>
      <c r="AL129" s="38"/>
      <c r="AM129" s="38"/>
    </row>
    <row r="130" spans="1:43" ht="14.25" hidden="1" customHeight="1" outlineLevel="1" x14ac:dyDescent="0.25">
      <c r="A130" s="364"/>
      <c r="B130" s="1495"/>
      <c r="C130" s="1496"/>
      <c r="D130" s="1496"/>
      <c r="E130" s="1496"/>
      <c r="F130" s="1496"/>
      <c r="G130" s="1496"/>
      <c r="H130" s="1497"/>
      <c r="I130" s="1475"/>
      <c r="J130" s="1470"/>
      <c r="K130" s="1352"/>
      <c r="L130" s="1471"/>
      <c r="M130" s="1472"/>
      <c r="N130" s="1509"/>
      <c r="O130" s="38"/>
      <c r="P130" s="44"/>
      <c r="Q130" s="38"/>
      <c r="R130" s="38"/>
      <c r="S130" s="38"/>
      <c r="T130" s="38"/>
      <c r="U130" s="38"/>
      <c r="V130" s="38"/>
      <c r="W130" s="38"/>
      <c r="Z130" s="625"/>
      <c r="AA130" s="622"/>
      <c r="AD130" s="38"/>
      <c r="AE130" s="38"/>
      <c r="AF130" s="38"/>
      <c r="AG130" s="38"/>
      <c r="AH130" s="38"/>
      <c r="AI130" s="38"/>
      <c r="AJ130" s="38"/>
      <c r="AK130" s="38"/>
      <c r="AL130" s="38"/>
      <c r="AM130" s="38"/>
      <c r="AQ130" s="35"/>
    </row>
    <row r="131" spans="1:43" ht="14.25" hidden="1" customHeight="1" outlineLevel="1" x14ac:dyDescent="0.25">
      <c r="A131" s="364"/>
      <c r="B131" s="1518"/>
      <c r="C131" s="1519"/>
      <c r="D131" s="1519"/>
      <c r="E131" s="1519"/>
      <c r="F131" s="1519"/>
      <c r="G131" s="1519"/>
      <c r="H131" s="1520"/>
      <c r="I131" s="1469" t="s">
        <v>107</v>
      </c>
      <c r="J131" s="1470"/>
      <c r="K131" s="1352"/>
      <c r="L131" s="1471">
        <f>J131*K131</f>
        <v>0</v>
      </c>
      <c r="M131" s="1472" t="str">
        <f>IFERROR(IF((VLOOKUP(N131,Überblick!$M$124:$N$132,2))="ja","ja","nein"),"")</f>
        <v/>
      </c>
      <c r="N131" s="1515"/>
      <c r="O131" s="38">
        <f t="shared" si="58"/>
        <v>0</v>
      </c>
      <c r="P131" s="44">
        <f t="shared" si="44"/>
        <v>0</v>
      </c>
      <c r="Q131" s="38">
        <f>IF(AND(N131&lt;1,I131="ja"),1,0)</f>
        <v>0</v>
      </c>
      <c r="R131" s="38"/>
      <c r="S131" s="38"/>
      <c r="T131" s="38"/>
      <c r="U131" s="38"/>
      <c r="V131" s="38"/>
      <c r="W131" s="38"/>
      <c r="Z131" s="625"/>
      <c r="AA131" s="622"/>
      <c r="AD131" s="38"/>
      <c r="AE131" s="38"/>
      <c r="AF131" s="38"/>
      <c r="AG131" s="38"/>
      <c r="AH131" s="38"/>
      <c r="AI131" s="38"/>
      <c r="AJ131" s="38"/>
      <c r="AK131" s="38"/>
      <c r="AL131" s="38"/>
      <c r="AM131" s="38"/>
      <c r="AQ131" s="35"/>
    </row>
    <row r="132" spans="1:43" ht="14.25" hidden="1" customHeight="1" outlineLevel="1" thickBot="1" x14ac:dyDescent="0.3">
      <c r="A132" s="364"/>
      <c r="B132" s="1596"/>
      <c r="C132" s="1597"/>
      <c r="D132" s="1597"/>
      <c r="E132" s="1597"/>
      <c r="F132" s="1597"/>
      <c r="G132" s="1597"/>
      <c r="H132" s="1598"/>
      <c r="I132" s="1478"/>
      <c r="J132" s="1479"/>
      <c r="K132" s="1359"/>
      <c r="L132" s="1480"/>
      <c r="M132" s="1481"/>
      <c r="N132" s="1595"/>
      <c r="O132" s="38"/>
      <c r="P132" s="44"/>
      <c r="Q132" s="38"/>
      <c r="R132" s="38"/>
      <c r="S132" s="38"/>
      <c r="T132" s="38"/>
      <c r="U132" s="38"/>
      <c r="V132" s="38"/>
      <c r="W132" s="38"/>
      <c r="Z132" s="120"/>
      <c r="AA132" s="622"/>
      <c r="AB132" s="121"/>
      <c r="AD132" s="38"/>
      <c r="AE132" s="38"/>
      <c r="AF132" s="38"/>
      <c r="AG132" s="38"/>
      <c r="AH132" s="38"/>
      <c r="AI132" s="38"/>
      <c r="AJ132" s="38"/>
      <c r="AK132" s="38"/>
      <c r="AL132" s="38"/>
      <c r="AM132" s="38"/>
      <c r="AQ132" s="35"/>
    </row>
    <row r="133" spans="1:43" ht="14.25" customHeight="1" collapsed="1" x14ac:dyDescent="0.25">
      <c r="A133" s="364"/>
      <c r="B133" s="138"/>
      <c r="C133" s="138"/>
      <c r="D133" s="138"/>
      <c r="E133" s="138"/>
      <c r="F133" s="138"/>
      <c r="G133" s="138"/>
      <c r="H133" s="138"/>
      <c r="I133" s="137"/>
      <c r="J133" s="307"/>
      <c r="K133" s="307"/>
      <c r="L133" s="58">
        <f>SUM(L120:L132)</f>
        <v>0</v>
      </c>
      <c r="M133" s="134"/>
      <c r="N133" s="102"/>
      <c r="O133" s="38"/>
      <c r="P133" s="44"/>
      <c r="Q133" s="38"/>
      <c r="R133" s="38"/>
      <c r="S133" s="38"/>
      <c r="T133" s="38"/>
      <c r="U133" s="38"/>
      <c r="V133" s="38"/>
      <c r="W133" s="38"/>
      <c r="Z133" s="622" t="e">
        <f>IF(#REF!="ja",AA133,0)</f>
        <v>#REF!</v>
      </c>
      <c r="AA133" s="622">
        <v>3.6499999999999998E-2</v>
      </c>
      <c r="AD133" s="38"/>
      <c r="AE133" s="38"/>
      <c r="AF133" s="38"/>
      <c r="AG133" s="38"/>
      <c r="AH133" s="38"/>
      <c r="AI133" s="38"/>
      <c r="AJ133" s="38"/>
      <c r="AK133" s="38"/>
      <c r="AL133" s="38"/>
      <c r="AM133" s="38"/>
      <c r="AQ133" s="121"/>
    </row>
    <row r="134" spans="1:43" ht="14.25" hidden="1" customHeight="1" outlineLevel="1" thickBot="1" x14ac:dyDescent="0.3">
      <c r="A134" s="364"/>
      <c r="B134" s="1545" t="s">
        <v>553</v>
      </c>
      <c r="C134" s="1483"/>
      <c r="D134" s="1483"/>
      <c r="E134" s="1483"/>
      <c r="F134" s="1483"/>
      <c r="G134" s="1483"/>
      <c r="H134" s="1483"/>
      <c r="I134" s="1027" t="s">
        <v>164</v>
      </c>
      <c r="J134" s="1527" t="s">
        <v>504</v>
      </c>
      <c r="K134" s="1483" t="s">
        <v>505</v>
      </c>
      <c r="L134" s="1485" t="s">
        <v>549</v>
      </c>
      <c r="M134" s="1483" t="s">
        <v>169</v>
      </c>
      <c r="N134" s="1599" t="s">
        <v>170</v>
      </c>
      <c r="O134" s="38"/>
      <c r="P134" s="44"/>
      <c r="Q134" s="38"/>
      <c r="R134" s="38"/>
      <c r="S134" s="38"/>
      <c r="T134" s="38"/>
      <c r="U134" s="38"/>
      <c r="V134" s="38"/>
      <c r="W134" s="38"/>
      <c r="Z134" s="625"/>
      <c r="AA134" s="622"/>
      <c r="AD134" s="38"/>
      <c r="AE134" s="38"/>
      <c r="AF134" s="38"/>
      <c r="AG134" s="38"/>
      <c r="AH134" s="38"/>
      <c r="AI134" s="38"/>
      <c r="AJ134" s="38"/>
      <c r="AK134" s="38"/>
      <c r="AL134" s="38"/>
      <c r="AM134" s="38"/>
      <c r="AQ134" s="120"/>
    </row>
    <row r="135" spans="1:43" ht="14.25" hidden="1" customHeight="1" outlineLevel="1" thickBot="1" x14ac:dyDescent="0.3">
      <c r="A135" s="364"/>
      <c r="B135" s="1546"/>
      <c r="C135" s="1484"/>
      <c r="D135" s="1484"/>
      <c r="E135" s="1484"/>
      <c r="F135" s="1484"/>
      <c r="G135" s="1484"/>
      <c r="H135" s="1484"/>
      <c r="I135" s="1028"/>
      <c r="J135" s="1528"/>
      <c r="K135" s="1484"/>
      <c r="L135" s="1486"/>
      <c r="M135" s="1484"/>
      <c r="N135" s="1599"/>
      <c r="O135" s="38"/>
      <c r="P135" s="44"/>
      <c r="Q135" s="38"/>
      <c r="R135" s="38"/>
      <c r="S135" s="38"/>
      <c r="T135" s="38"/>
      <c r="U135" s="38"/>
      <c r="V135" s="38"/>
      <c r="W135" s="38"/>
      <c r="Z135" s="625"/>
      <c r="AA135" s="622"/>
      <c r="AD135" s="38"/>
      <c r="AE135" s="38"/>
      <c r="AF135" s="38"/>
      <c r="AG135" s="38"/>
      <c r="AH135" s="38"/>
      <c r="AI135" s="38"/>
      <c r="AJ135" s="38"/>
      <c r="AK135" s="38"/>
      <c r="AL135" s="38"/>
      <c r="AM135" s="38"/>
      <c r="AQ135" s="35"/>
    </row>
    <row r="136" spans="1:43" ht="14.25" hidden="1" customHeight="1" outlineLevel="1" thickBot="1" x14ac:dyDescent="0.3">
      <c r="A136" s="364"/>
      <c r="B136" s="1547"/>
      <c r="C136" s="1488"/>
      <c r="D136" s="1488"/>
      <c r="E136" s="1488"/>
      <c r="F136" s="1488"/>
      <c r="G136" s="1488"/>
      <c r="H136" s="1488"/>
      <c r="I136" s="1029"/>
      <c r="J136" s="1528"/>
      <c r="K136" s="1488"/>
      <c r="L136" s="1486"/>
      <c r="M136" s="1488"/>
      <c r="N136" s="1599"/>
      <c r="O136" s="38"/>
      <c r="P136" s="44"/>
      <c r="Q136" s="38"/>
      <c r="R136" s="38"/>
      <c r="S136" s="38"/>
      <c r="T136" s="38"/>
      <c r="U136" s="38"/>
      <c r="V136" s="38"/>
      <c r="W136" s="38"/>
      <c r="Z136" s="625"/>
      <c r="AA136" s="622"/>
      <c r="AD136" s="38"/>
      <c r="AE136" s="38"/>
      <c r="AF136" s="38"/>
      <c r="AG136" s="38"/>
      <c r="AH136" s="38"/>
      <c r="AI136" s="38"/>
      <c r="AJ136" s="38"/>
      <c r="AK136" s="38"/>
      <c r="AL136" s="38"/>
      <c r="AM136" s="38"/>
      <c r="AQ136" s="35"/>
    </row>
    <row r="137" spans="1:43" ht="14.25" hidden="1" customHeight="1" outlineLevel="1" x14ac:dyDescent="0.25">
      <c r="A137" s="364"/>
      <c r="B137" s="1521" t="s">
        <v>554</v>
      </c>
      <c r="C137" s="1522"/>
      <c r="D137" s="1522"/>
      <c r="E137" s="1522"/>
      <c r="F137" s="1522"/>
      <c r="G137" s="1522"/>
      <c r="H137" s="1522"/>
      <c r="I137" s="1474" t="s">
        <v>107</v>
      </c>
      <c r="J137" s="1523"/>
      <c r="K137" s="1357"/>
      <c r="L137" s="1524">
        <f>J137*K137</f>
        <v>0</v>
      </c>
      <c r="M137" s="1472" t="str">
        <f>IFERROR(IF((VLOOKUP(N137,Überblick!$M$124:$N$132,2))="ja","ja","nein"),"")</f>
        <v/>
      </c>
      <c r="N137" s="1525"/>
      <c r="O137" s="38">
        <f t="shared" ref="O137" si="59">IF(AND(I137="ja",J137=""),1,0)</f>
        <v>0</v>
      </c>
      <c r="P137" s="44">
        <f t="shared" ref="P137:P200" si="60">IF(I137="ja",1,0)</f>
        <v>0</v>
      </c>
      <c r="Q137" s="38">
        <f>IF(AND(N137&lt;1,I137="ja"),1,0)</f>
        <v>0</v>
      </c>
      <c r="R137" s="38"/>
      <c r="S137" s="38"/>
      <c r="T137" s="38"/>
      <c r="U137" s="38"/>
      <c r="V137" s="38"/>
      <c r="W137" s="38"/>
      <c r="Z137" s="625"/>
      <c r="AA137" s="622"/>
      <c r="AD137" s="38"/>
      <c r="AE137" s="38"/>
      <c r="AF137" s="38"/>
      <c r="AG137" s="38"/>
      <c r="AH137" s="38"/>
      <c r="AI137" s="38"/>
      <c r="AJ137" s="38"/>
      <c r="AK137" s="38"/>
      <c r="AL137" s="38"/>
      <c r="AM137" s="38"/>
      <c r="AQ137" s="35"/>
    </row>
    <row r="138" spans="1:43" ht="14.25" hidden="1" customHeight="1" outlineLevel="1" x14ac:dyDescent="0.25">
      <c r="A138" s="364"/>
      <c r="B138" s="1466"/>
      <c r="C138" s="1467"/>
      <c r="D138" s="1467"/>
      <c r="E138" s="1467"/>
      <c r="F138" s="1467"/>
      <c r="G138" s="1467"/>
      <c r="H138" s="1467"/>
      <c r="I138" s="1475"/>
      <c r="J138" s="1470"/>
      <c r="K138" s="1352"/>
      <c r="L138" s="1471"/>
      <c r="M138" s="1472"/>
      <c r="N138" s="1473"/>
      <c r="O138" s="38"/>
      <c r="P138" s="44"/>
      <c r="Q138" s="38"/>
      <c r="R138" s="38"/>
      <c r="S138" s="38"/>
      <c r="T138" s="38"/>
      <c r="U138" s="38"/>
      <c r="V138" s="38"/>
      <c r="W138" s="38"/>
      <c r="Z138" s="625"/>
      <c r="AA138" s="622"/>
      <c r="AD138" s="38"/>
      <c r="AE138" s="38"/>
      <c r="AF138" s="38"/>
      <c r="AG138" s="38"/>
      <c r="AH138" s="38"/>
      <c r="AI138" s="38"/>
      <c r="AJ138" s="38"/>
      <c r="AK138" s="38"/>
      <c r="AL138" s="38"/>
      <c r="AM138" s="38"/>
      <c r="AQ138" s="120"/>
    </row>
    <row r="139" spans="1:43" ht="14.25" hidden="1" customHeight="1" outlineLevel="1" x14ac:dyDescent="0.25">
      <c r="A139" s="364"/>
      <c r="B139" s="1466" t="s">
        <v>555</v>
      </c>
      <c r="C139" s="1467"/>
      <c r="D139" s="1467"/>
      <c r="E139" s="1467"/>
      <c r="F139" s="1467"/>
      <c r="G139" s="1467"/>
      <c r="H139" s="1467"/>
      <c r="I139" s="1474" t="s">
        <v>107</v>
      </c>
      <c r="J139" s="1470"/>
      <c r="K139" s="1352"/>
      <c r="L139" s="1471">
        <f>J139*K139</f>
        <v>0</v>
      </c>
      <c r="M139" s="1472" t="str">
        <f>IFERROR(IF((VLOOKUP(N139,Überblick!$M$124:$N$132,2))="ja","ja","nein"),"")</f>
        <v/>
      </c>
      <c r="N139" s="1473"/>
      <c r="O139" s="38">
        <f t="shared" ref="O139" si="61">IF(AND(I139="ja",J139=""),1,0)</f>
        <v>0</v>
      </c>
      <c r="P139" s="44">
        <f t="shared" si="60"/>
        <v>0</v>
      </c>
      <c r="Q139" s="38">
        <f>IF(AND(N139&lt;1,I139="ja"),1,0)</f>
        <v>0</v>
      </c>
      <c r="R139" s="38"/>
      <c r="S139" s="38"/>
      <c r="T139" s="38"/>
      <c r="U139" s="38"/>
      <c r="V139" s="38"/>
      <c r="W139" s="38"/>
      <c r="Z139" s="625"/>
      <c r="AA139" s="622"/>
      <c r="AD139" s="38"/>
      <c r="AE139" s="38"/>
      <c r="AF139" s="38"/>
      <c r="AG139" s="38"/>
      <c r="AH139" s="38"/>
      <c r="AI139" s="38"/>
      <c r="AJ139" s="38"/>
      <c r="AK139" s="38"/>
      <c r="AL139" s="38"/>
      <c r="AM139" s="38"/>
      <c r="AQ139" s="35"/>
    </row>
    <row r="140" spans="1:43" ht="14.25" hidden="1" customHeight="1" outlineLevel="1" x14ac:dyDescent="0.25">
      <c r="A140" s="364"/>
      <c r="B140" s="1466"/>
      <c r="C140" s="1467"/>
      <c r="D140" s="1467"/>
      <c r="E140" s="1467"/>
      <c r="F140" s="1467"/>
      <c r="G140" s="1467"/>
      <c r="H140" s="1467"/>
      <c r="I140" s="1475"/>
      <c r="J140" s="1470"/>
      <c r="K140" s="1352"/>
      <c r="L140" s="1471"/>
      <c r="M140" s="1472"/>
      <c r="N140" s="1473"/>
      <c r="O140" s="38"/>
      <c r="P140" s="44"/>
      <c r="Q140" s="38"/>
      <c r="R140" s="38"/>
      <c r="S140" s="38"/>
      <c r="T140" s="38"/>
      <c r="U140" s="38"/>
      <c r="V140" s="38"/>
      <c r="W140" s="38"/>
      <c r="Z140" s="625"/>
      <c r="AA140" s="622"/>
      <c r="AD140" s="38"/>
      <c r="AE140" s="38"/>
      <c r="AF140" s="38"/>
      <c r="AG140" s="38"/>
      <c r="AH140" s="38"/>
      <c r="AI140" s="38"/>
      <c r="AJ140" s="38"/>
      <c r="AK140" s="38"/>
      <c r="AL140" s="38"/>
      <c r="AM140" s="38"/>
      <c r="AQ140" s="120"/>
    </row>
    <row r="141" spans="1:43" ht="14.25" hidden="1" customHeight="1" outlineLevel="1" x14ac:dyDescent="0.25">
      <c r="A141" s="364"/>
      <c r="B141" s="1593"/>
      <c r="C141" s="1594"/>
      <c r="D141" s="1594"/>
      <c r="E141" s="1594"/>
      <c r="F141" s="1594"/>
      <c r="G141" s="1594"/>
      <c r="H141" s="1594"/>
      <c r="I141" s="1474" t="s">
        <v>107</v>
      </c>
      <c r="J141" s="1470"/>
      <c r="K141" s="1352"/>
      <c r="L141" s="1471">
        <f>J141*K141</f>
        <v>0</v>
      </c>
      <c r="M141" s="1472" t="str">
        <f>IFERROR(IF((VLOOKUP(N141,Überblick!$M$124:$N$132,2))="ja","ja","nein"),"")</f>
        <v/>
      </c>
      <c r="N141" s="1473"/>
      <c r="O141" s="38">
        <f t="shared" si="58"/>
        <v>0</v>
      </c>
      <c r="P141" s="44">
        <f t="shared" si="60"/>
        <v>0</v>
      </c>
      <c r="Q141" s="38">
        <f>IF(AND(N141&lt;1,I141="ja"),1,0)</f>
        <v>0</v>
      </c>
      <c r="R141" s="38"/>
      <c r="S141" s="38"/>
      <c r="T141" s="38"/>
      <c r="U141" s="38"/>
      <c r="V141" s="38"/>
      <c r="W141" s="38"/>
      <c r="Z141" s="625"/>
      <c r="AA141" s="622"/>
      <c r="AD141" s="38"/>
      <c r="AE141" s="38"/>
      <c r="AF141" s="38"/>
      <c r="AG141" s="38"/>
      <c r="AH141" s="38"/>
      <c r="AI141" s="38"/>
      <c r="AJ141" s="38"/>
      <c r="AK141" s="38"/>
      <c r="AL141" s="38"/>
      <c r="AM141" s="38"/>
      <c r="AQ141" s="35"/>
    </row>
    <row r="142" spans="1:43" ht="14.25" hidden="1" customHeight="1" outlineLevel="1" x14ac:dyDescent="0.25">
      <c r="A142" s="364"/>
      <c r="B142" s="1593"/>
      <c r="C142" s="1594"/>
      <c r="D142" s="1594"/>
      <c r="E142" s="1594"/>
      <c r="F142" s="1594"/>
      <c r="G142" s="1594"/>
      <c r="H142" s="1594"/>
      <c r="I142" s="1475"/>
      <c r="J142" s="1470"/>
      <c r="K142" s="1352"/>
      <c r="L142" s="1471"/>
      <c r="M142" s="1472"/>
      <c r="N142" s="1473"/>
      <c r="O142" s="38"/>
      <c r="P142" s="44"/>
      <c r="Q142" s="38"/>
      <c r="R142" s="38"/>
      <c r="S142" s="38"/>
      <c r="T142" s="38"/>
      <c r="U142" s="38"/>
      <c r="V142" s="38"/>
      <c r="W142" s="38"/>
      <c r="Z142" s="625"/>
      <c r="AA142" s="622"/>
      <c r="AD142" s="38"/>
      <c r="AE142" s="38"/>
      <c r="AF142" s="38"/>
      <c r="AG142" s="38"/>
      <c r="AH142" s="38"/>
      <c r="AI142" s="38"/>
      <c r="AJ142" s="38"/>
      <c r="AK142" s="38"/>
      <c r="AL142" s="38"/>
      <c r="AM142" s="38"/>
      <c r="AQ142" s="120"/>
    </row>
    <row r="143" spans="1:43" ht="14.25" hidden="1" customHeight="1" outlineLevel="1" x14ac:dyDescent="0.25">
      <c r="A143" s="364"/>
      <c r="B143" s="1593"/>
      <c r="C143" s="1594"/>
      <c r="D143" s="1594"/>
      <c r="E143" s="1594"/>
      <c r="F143" s="1594"/>
      <c r="G143" s="1594"/>
      <c r="H143" s="1594"/>
      <c r="I143" s="1469" t="s">
        <v>107</v>
      </c>
      <c r="J143" s="1470"/>
      <c r="K143" s="1352"/>
      <c r="L143" s="1471">
        <f>J143*K143</f>
        <v>0</v>
      </c>
      <c r="M143" s="1472" t="str">
        <f>IFERROR(IF((VLOOKUP(N143,Überblick!$M$124:$N$132,2))="ja","ja","nein"),"")</f>
        <v/>
      </c>
      <c r="N143" s="1473"/>
      <c r="O143" s="38">
        <f t="shared" si="58"/>
        <v>0</v>
      </c>
      <c r="P143" s="44">
        <f t="shared" si="60"/>
        <v>0</v>
      </c>
      <c r="Q143" s="38">
        <f>IF(AND(N143&lt;1,I143="ja"),1,0)</f>
        <v>0</v>
      </c>
      <c r="R143" s="38"/>
      <c r="S143" s="38"/>
      <c r="T143" s="38"/>
      <c r="U143" s="38"/>
      <c r="V143" s="38"/>
      <c r="W143" s="38"/>
      <c r="Z143" s="622"/>
      <c r="AA143" s="622"/>
      <c r="AD143" s="38"/>
      <c r="AE143" s="38"/>
      <c r="AF143" s="38"/>
      <c r="AG143" s="38"/>
      <c r="AH143" s="38"/>
      <c r="AI143" s="38"/>
      <c r="AJ143" s="38"/>
      <c r="AK143" s="38"/>
      <c r="AL143" s="38"/>
      <c r="AM143" s="38"/>
      <c r="AQ143" s="120"/>
    </row>
    <row r="144" spans="1:43" ht="14.25" hidden="1" customHeight="1" outlineLevel="1" thickBot="1" x14ac:dyDescent="0.3">
      <c r="A144" s="364"/>
      <c r="B144" s="1609"/>
      <c r="C144" s="1610"/>
      <c r="D144" s="1610"/>
      <c r="E144" s="1610"/>
      <c r="F144" s="1610"/>
      <c r="G144" s="1610"/>
      <c r="H144" s="1610"/>
      <c r="I144" s="1478"/>
      <c r="J144" s="1479"/>
      <c r="K144" s="1359"/>
      <c r="L144" s="1480"/>
      <c r="M144" s="1481"/>
      <c r="N144" s="1482"/>
      <c r="O144" s="38"/>
      <c r="P144" s="44"/>
      <c r="Q144" s="38"/>
      <c r="R144" s="38"/>
      <c r="S144" s="38"/>
      <c r="T144" s="38"/>
      <c r="U144" s="38"/>
      <c r="V144" s="38"/>
      <c r="W144" s="38"/>
      <c r="Z144" s="622" t="e">
        <f>IF(#REF!="ja",AA144,0)</f>
        <v>#REF!</v>
      </c>
      <c r="AA144" s="622">
        <v>1E-3</v>
      </c>
      <c r="AD144" s="38"/>
      <c r="AE144" s="38"/>
      <c r="AF144" s="38"/>
      <c r="AG144" s="38"/>
      <c r="AH144" s="38"/>
      <c r="AI144" s="38"/>
      <c r="AJ144" s="38"/>
      <c r="AK144" s="38"/>
      <c r="AL144" s="38"/>
      <c r="AM144" s="38"/>
      <c r="AQ144" s="120"/>
    </row>
    <row r="145" spans="1:43" ht="14.25" customHeight="1" collapsed="1" x14ac:dyDescent="0.25">
      <c r="A145" s="364"/>
      <c r="B145" s="138"/>
      <c r="C145" s="138"/>
      <c r="D145" s="138"/>
      <c r="E145" s="138"/>
      <c r="F145" s="138"/>
      <c r="G145" s="138"/>
      <c r="H145" s="138"/>
      <c r="I145" s="137"/>
      <c r="J145" s="307"/>
      <c r="K145" s="307"/>
      <c r="L145" s="58">
        <f>SUM(L137:L144)</f>
        <v>0</v>
      </c>
      <c r="M145" s="134"/>
      <c r="N145" s="102"/>
      <c r="O145" s="38"/>
      <c r="P145" s="44"/>
      <c r="Q145" s="38"/>
      <c r="R145" s="38"/>
      <c r="S145" s="38"/>
      <c r="T145" s="38"/>
      <c r="U145" s="38"/>
      <c r="V145" s="38"/>
      <c r="W145" s="38"/>
      <c r="Z145" s="622"/>
      <c r="AA145" s="622"/>
      <c r="AD145" s="38"/>
      <c r="AE145" s="38"/>
      <c r="AF145" s="38"/>
      <c r="AG145" s="38"/>
      <c r="AH145" s="38"/>
      <c r="AI145" s="38"/>
      <c r="AJ145" s="38"/>
      <c r="AK145" s="38"/>
      <c r="AL145" s="38"/>
      <c r="AM145" s="38"/>
      <c r="AQ145" s="120"/>
    </row>
    <row r="146" spans="1:43" ht="14.25" hidden="1" customHeight="1" outlineLevel="1" thickBot="1" x14ac:dyDescent="0.3">
      <c r="A146" s="364"/>
      <c r="B146" s="1545" t="s">
        <v>556</v>
      </c>
      <c r="C146" s="1483"/>
      <c r="D146" s="1483"/>
      <c r="E146" s="1483"/>
      <c r="F146" s="1483"/>
      <c r="G146" s="1483"/>
      <c r="H146" s="1483"/>
      <c r="I146" s="1027" t="s">
        <v>164</v>
      </c>
      <c r="J146" s="1527" t="s">
        <v>504</v>
      </c>
      <c r="K146" s="1483" t="s">
        <v>505</v>
      </c>
      <c r="L146" s="1485" t="s">
        <v>549</v>
      </c>
      <c r="M146" s="1483" t="s">
        <v>169</v>
      </c>
      <c r="N146" s="1599" t="s">
        <v>170</v>
      </c>
      <c r="O146" s="38"/>
      <c r="P146" s="44"/>
      <c r="Q146" s="38"/>
      <c r="R146" s="38"/>
      <c r="S146" s="38"/>
      <c r="T146" s="38"/>
      <c r="U146" s="38"/>
      <c r="V146" s="38"/>
      <c r="W146" s="38"/>
      <c r="Z146" s="622"/>
      <c r="AA146" s="622"/>
      <c r="AD146" s="38"/>
      <c r="AE146" s="38"/>
      <c r="AF146" s="38"/>
      <c r="AG146" s="38"/>
      <c r="AH146" s="38"/>
      <c r="AI146" s="38"/>
      <c r="AJ146" s="38"/>
      <c r="AK146" s="38"/>
      <c r="AL146" s="38"/>
      <c r="AM146" s="38"/>
      <c r="AQ146" s="120"/>
    </row>
    <row r="147" spans="1:43" ht="14.25" hidden="1" customHeight="1" outlineLevel="1" thickBot="1" x14ac:dyDescent="0.3">
      <c r="A147" s="364"/>
      <c r="B147" s="1546"/>
      <c r="C147" s="1484"/>
      <c r="D147" s="1484"/>
      <c r="E147" s="1484"/>
      <c r="F147" s="1484"/>
      <c r="G147" s="1484"/>
      <c r="H147" s="1484"/>
      <c r="I147" s="1028"/>
      <c r="J147" s="1528"/>
      <c r="K147" s="1484"/>
      <c r="L147" s="1486"/>
      <c r="M147" s="1484"/>
      <c r="N147" s="1599"/>
      <c r="O147" s="38"/>
      <c r="P147" s="44"/>
      <c r="Q147" s="38"/>
      <c r="R147" s="38"/>
      <c r="S147" s="38"/>
      <c r="T147" s="38"/>
      <c r="U147" s="38"/>
      <c r="V147" s="38"/>
      <c r="W147" s="38"/>
      <c r="Z147" s="622" t="e">
        <f>IF(#REF!="ja",AA147,0)</f>
        <v>#REF!</v>
      </c>
      <c r="AA147" s="622">
        <v>2.5000000000000001E-3</v>
      </c>
      <c r="AD147" s="38"/>
      <c r="AE147" s="38"/>
      <c r="AF147" s="38"/>
      <c r="AG147" s="38"/>
      <c r="AH147" s="38"/>
      <c r="AI147" s="38"/>
      <c r="AJ147" s="38"/>
      <c r="AK147" s="38"/>
      <c r="AL147" s="38"/>
      <c r="AM147" s="38"/>
      <c r="AQ147" s="120"/>
    </row>
    <row r="148" spans="1:43" ht="14.25" hidden="1" customHeight="1" outlineLevel="1" thickBot="1" x14ac:dyDescent="0.3">
      <c r="A148" s="364"/>
      <c r="B148" s="1547"/>
      <c r="C148" s="1488"/>
      <c r="D148" s="1488"/>
      <c r="E148" s="1488"/>
      <c r="F148" s="1488"/>
      <c r="G148" s="1488"/>
      <c r="H148" s="1488"/>
      <c r="I148" s="1029"/>
      <c r="J148" s="1528"/>
      <c r="K148" s="1488"/>
      <c r="L148" s="1486"/>
      <c r="M148" s="1488"/>
      <c r="N148" s="1599"/>
      <c r="O148" s="38"/>
      <c r="P148" s="44"/>
      <c r="Q148" s="38"/>
      <c r="R148" s="38"/>
      <c r="S148" s="38"/>
      <c r="T148" s="38"/>
      <c r="U148" s="38"/>
      <c r="V148" s="38"/>
      <c r="W148" s="38"/>
      <c r="Z148" s="622"/>
      <c r="AA148" s="622"/>
      <c r="AD148" s="38"/>
      <c r="AE148" s="38"/>
      <c r="AF148" s="38"/>
      <c r="AG148" s="38"/>
      <c r="AH148" s="38"/>
      <c r="AI148" s="38"/>
      <c r="AJ148" s="38"/>
      <c r="AK148" s="38"/>
      <c r="AL148" s="38"/>
      <c r="AM148" s="38"/>
      <c r="AQ148" s="120"/>
    </row>
    <row r="149" spans="1:43" ht="14.25" hidden="1" customHeight="1" outlineLevel="1" x14ac:dyDescent="0.25">
      <c r="A149" s="364"/>
      <c r="B149" s="1521" t="s">
        <v>557</v>
      </c>
      <c r="C149" s="1522"/>
      <c r="D149" s="1522"/>
      <c r="E149" s="1522"/>
      <c r="F149" s="1522"/>
      <c r="G149" s="1522"/>
      <c r="H149" s="1522"/>
      <c r="I149" s="1637" t="s">
        <v>107</v>
      </c>
      <c r="J149" s="1523"/>
      <c r="K149" s="1357"/>
      <c r="L149" s="1524">
        <f>J149*K149</f>
        <v>0</v>
      </c>
      <c r="M149" s="1600" t="str">
        <f>IFERROR(IF((VLOOKUP(N149,Überblick!$M$124:$N$132,2))="ja","ja","nein"),"")</f>
        <v/>
      </c>
      <c r="N149" s="1525"/>
      <c r="O149" s="38">
        <f t="shared" si="58"/>
        <v>0</v>
      </c>
      <c r="P149" s="44">
        <f t="shared" si="60"/>
        <v>0</v>
      </c>
      <c r="Q149" s="38">
        <f>IF(AND(N149&lt;1,I149="ja"),1,0)</f>
        <v>0</v>
      </c>
      <c r="R149" s="38"/>
      <c r="S149" s="297"/>
      <c r="T149" s="297"/>
      <c r="U149" s="297"/>
      <c r="V149" s="297"/>
      <c r="W149" s="297"/>
      <c r="X149" s="379"/>
      <c r="Y149" s="379"/>
      <c r="Z149" s="622"/>
      <c r="AA149" s="622"/>
      <c r="AD149" s="38"/>
      <c r="AE149" s="38"/>
      <c r="AF149" s="38"/>
      <c r="AG149" s="38"/>
      <c r="AH149" s="38"/>
      <c r="AI149" s="38"/>
      <c r="AJ149" s="38"/>
      <c r="AK149" s="38"/>
      <c r="AL149" s="38"/>
      <c r="AM149" s="38"/>
      <c r="AQ149" s="120"/>
    </row>
    <row r="150" spans="1:43" ht="14.25" hidden="1" customHeight="1" outlineLevel="1" x14ac:dyDescent="0.25">
      <c r="A150" s="364"/>
      <c r="B150" s="1466"/>
      <c r="C150" s="1467"/>
      <c r="D150" s="1467"/>
      <c r="E150" s="1467"/>
      <c r="F150" s="1467"/>
      <c r="G150" s="1467"/>
      <c r="H150" s="1467"/>
      <c r="I150" s="1468"/>
      <c r="J150" s="1470"/>
      <c r="K150" s="1352"/>
      <c r="L150" s="1471"/>
      <c r="M150" s="1526"/>
      <c r="N150" s="1473"/>
      <c r="O150" s="38"/>
      <c r="P150" s="44"/>
      <c r="Q150" s="38"/>
      <c r="R150" s="38"/>
      <c r="S150" s="297"/>
      <c r="T150" s="297"/>
      <c r="U150" s="297"/>
      <c r="V150" s="297"/>
      <c r="W150" s="297"/>
      <c r="X150" s="379"/>
      <c r="Y150" s="379"/>
      <c r="Z150" s="622"/>
      <c r="AA150" s="622"/>
      <c r="AD150" s="38"/>
      <c r="AE150" s="38"/>
      <c r="AF150" s="38"/>
      <c r="AG150" s="38"/>
      <c r="AH150" s="38"/>
      <c r="AI150" s="38"/>
      <c r="AJ150" s="38"/>
      <c r="AK150" s="38"/>
      <c r="AL150" s="38"/>
      <c r="AM150" s="38"/>
      <c r="AQ150" s="120"/>
    </row>
    <row r="151" spans="1:43" ht="14.25" hidden="1" customHeight="1" outlineLevel="1" x14ac:dyDescent="0.25">
      <c r="A151" s="364"/>
      <c r="B151" s="1466"/>
      <c r="C151" s="1467"/>
      <c r="D151" s="1467"/>
      <c r="E151" s="1467"/>
      <c r="F151" s="1467"/>
      <c r="G151" s="1467"/>
      <c r="H151" s="1467"/>
      <c r="I151" s="1468"/>
      <c r="J151" s="1470"/>
      <c r="K151" s="1352"/>
      <c r="L151" s="1471"/>
      <c r="M151" s="1507"/>
      <c r="N151" s="1473"/>
      <c r="O151" s="38"/>
      <c r="P151" s="44"/>
      <c r="Q151" s="38"/>
      <c r="R151" s="38"/>
      <c r="S151" s="297"/>
      <c r="T151" s="297"/>
      <c r="U151" s="297"/>
      <c r="V151" s="297"/>
      <c r="W151" s="297"/>
      <c r="X151" s="379"/>
      <c r="Y151" s="379"/>
      <c r="Z151" s="622"/>
      <c r="AA151" s="622"/>
      <c r="AD151" s="38"/>
      <c r="AE151" s="38"/>
      <c r="AF151" s="38"/>
      <c r="AG151" s="38"/>
      <c r="AH151" s="38"/>
      <c r="AI151" s="38"/>
      <c r="AJ151" s="38"/>
      <c r="AK151" s="38"/>
      <c r="AL151" s="38"/>
      <c r="AM151" s="38"/>
      <c r="AQ151" s="120"/>
    </row>
    <row r="152" spans="1:43" ht="14.25" hidden="1" customHeight="1" outlineLevel="1" x14ac:dyDescent="0.25">
      <c r="A152" s="364"/>
      <c r="B152" s="1466" t="s">
        <v>558</v>
      </c>
      <c r="C152" s="1467"/>
      <c r="D152" s="1467"/>
      <c r="E152" s="1467"/>
      <c r="F152" s="1467"/>
      <c r="G152" s="1467"/>
      <c r="H152" s="1467"/>
      <c r="I152" s="1474" t="s">
        <v>107</v>
      </c>
      <c r="J152" s="1470"/>
      <c r="K152" s="1352"/>
      <c r="L152" s="1471">
        <f>J152*K152</f>
        <v>0</v>
      </c>
      <c r="M152" s="1472" t="str">
        <f>IFERROR(IF((VLOOKUP(N152,Überblick!$M$124:$N$132,2))="ja","ja","nein"),"")</f>
        <v/>
      </c>
      <c r="N152" s="1473"/>
      <c r="O152" s="38">
        <f t="shared" si="58"/>
        <v>0</v>
      </c>
      <c r="P152" s="44">
        <f t="shared" si="60"/>
        <v>0</v>
      </c>
      <c r="Q152" s="38">
        <f>IF(AND(N152&lt;1,I152="ja"),1,0)</f>
        <v>0</v>
      </c>
      <c r="R152" s="38"/>
      <c r="S152" s="297"/>
      <c r="T152" s="297"/>
      <c r="U152" s="297"/>
      <c r="V152" s="297"/>
      <c r="W152" s="297"/>
      <c r="X152" s="379"/>
      <c r="Y152" s="379"/>
      <c r="Z152" s="625"/>
      <c r="AA152" s="622"/>
      <c r="AD152" s="38"/>
      <c r="AE152" s="38"/>
      <c r="AF152" s="38"/>
      <c r="AG152" s="38"/>
      <c r="AH152" s="38"/>
      <c r="AI152" s="38"/>
      <c r="AJ152" s="38"/>
      <c r="AK152" s="38"/>
      <c r="AL152" s="38"/>
      <c r="AM152" s="38"/>
      <c r="AQ152" s="120"/>
    </row>
    <row r="153" spans="1:43" ht="14.25" hidden="1" customHeight="1" outlineLevel="1" x14ac:dyDescent="0.25">
      <c r="A153" s="364"/>
      <c r="B153" s="1466"/>
      <c r="C153" s="1467"/>
      <c r="D153" s="1467"/>
      <c r="E153" s="1467"/>
      <c r="F153" s="1467"/>
      <c r="G153" s="1467"/>
      <c r="H153" s="1467"/>
      <c r="I153" s="1475"/>
      <c r="J153" s="1470"/>
      <c r="K153" s="1352"/>
      <c r="L153" s="1471"/>
      <c r="M153" s="1472"/>
      <c r="N153" s="1473"/>
      <c r="O153" s="38"/>
      <c r="P153" s="44"/>
      <c r="Q153" s="38"/>
      <c r="R153" s="38"/>
      <c r="S153" s="297"/>
      <c r="T153" s="297"/>
      <c r="U153" s="297"/>
      <c r="V153" s="297"/>
      <c r="W153" s="297"/>
      <c r="X153" s="379"/>
      <c r="Y153" s="379"/>
      <c r="Z153" s="622" t="e">
        <f>SUM(Z133:Z152)</f>
        <v>#REF!</v>
      </c>
      <c r="AA153" s="119"/>
      <c r="AB153" s="119"/>
      <c r="AD153" s="38"/>
      <c r="AE153" s="38"/>
      <c r="AF153" s="38"/>
      <c r="AG153" s="38"/>
      <c r="AH153" s="38"/>
      <c r="AI153" s="38"/>
      <c r="AJ153" s="38"/>
      <c r="AK153" s="38"/>
      <c r="AL153" s="38"/>
      <c r="AM153" s="38"/>
      <c r="AQ153" s="35"/>
    </row>
    <row r="154" spans="1:43" ht="14.25" hidden="1" customHeight="1" outlineLevel="1" x14ac:dyDescent="0.25">
      <c r="A154" s="365"/>
      <c r="B154" s="1466" t="s">
        <v>559</v>
      </c>
      <c r="C154" s="1467"/>
      <c r="D154" s="1467"/>
      <c r="E154" s="1467"/>
      <c r="F154" s="1467"/>
      <c r="G154" s="1467"/>
      <c r="H154" s="1467"/>
      <c r="I154" s="1474" t="s">
        <v>107</v>
      </c>
      <c r="J154" s="1470"/>
      <c r="K154" s="1352"/>
      <c r="L154" s="1471">
        <f>J154*K154</f>
        <v>0</v>
      </c>
      <c r="M154" s="1472" t="str">
        <f>IFERROR(IF((VLOOKUP(N154,Überblick!$M$124:$N$132,2))="ja","ja","nein"),"")</f>
        <v/>
      </c>
      <c r="N154" s="1473"/>
      <c r="O154" s="38">
        <f t="shared" si="58"/>
        <v>0</v>
      </c>
      <c r="P154" s="44">
        <f t="shared" si="60"/>
        <v>0</v>
      </c>
      <c r="Q154" s="38">
        <f>IF(AND(N154&lt;1,I154="ja"),1,0)</f>
        <v>0</v>
      </c>
      <c r="R154" s="38"/>
      <c r="S154" s="297"/>
      <c r="T154" s="297"/>
      <c r="U154" s="297"/>
      <c r="V154" s="297"/>
      <c r="W154" s="297"/>
      <c r="X154" s="379"/>
      <c r="Y154" s="379"/>
      <c r="Z154" s="622" t="e">
        <f>IF(#REF!="ja",AA154,0)</f>
        <v>#REF!</v>
      </c>
      <c r="AA154" s="622">
        <v>7.4999999999999997E-2</v>
      </c>
      <c r="AB154" s="120"/>
      <c r="AD154" s="38"/>
      <c r="AE154" s="38"/>
      <c r="AF154" s="38"/>
      <c r="AG154" s="38"/>
      <c r="AH154" s="38"/>
      <c r="AI154" s="38"/>
      <c r="AJ154" s="38"/>
      <c r="AK154" s="38"/>
      <c r="AL154" s="38"/>
      <c r="AM154" s="38"/>
      <c r="AQ154" s="121"/>
    </row>
    <row r="155" spans="1:43" ht="14.25" hidden="1" customHeight="1" outlineLevel="1" x14ac:dyDescent="0.25">
      <c r="A155" s="365"/>
      <c r="B155" s="1466"/>
      <c r="C155" s="1467"/>
      <c r="D155" s="1467"/>
      <c r="E155" s="1467"/>
      <c r="F155" s="1467"/>
      <c r="G155" s="1467"/>
      <c r="H155" s="1467"/>
      <c r="I155" s="1475"/>
      <c r="J155" s="1470"/>
      <c r="K155" s="1352"/>
      <c r="L155" s="1471"/>
      <c r="M155" s="1472"/>
      <c r="N155" s="1473"/>
      <c r="O155" s="38"/>
      <c r="P155" s="44"/>
      <c r="Q155" s="38"/>
      <c r="R155" s="38"/>
      <c r="S155" s="297"/>
      <c r="T155" s="297"/>
      <c r="U155" s="297"/>
      <c r="V155" s="297"/>
      <c r="W155" s="297"/>
      <c r="X155" s="379"/>
      <c r="Y155" s="379"/>
      <c r="Z155" s="622"/>
      <c r="AA155" s="622"/>
      <c r="AB155" s="120"/>
      <c r="AD155" s="38"/>
      <c r="AE155" s="38"/>
      <c r="AF155" s="38"/>
      <c r="AG155" s="38"/>
      <c r="AH155" s="38"/>
      <c r="AI155" s="38"/>
      <c r="AJ155" s="38"/>
      <c r="AK155" s="38"/>
      <c r="AL155" s="38"/>
      <c r="AM155" s="38"/>
      <c r="AQ155" s="121"/>
    </row>
    <row r="156" spans="1:43" ht="14.25" hidden="1" customHeight="1" outlineLevel="1" x14ac:dyDescent="0.25">
      <c r="A156" s="365"/>
      <c r="B156" s="1466" t="s">
        <v>543</v>
      </c>
      <c r="C156" s="1467"/>
      <c r="D156" s="1467"/>
      <c r="E156" s="1467"/>
      <c r="F156" s="1467"/>
      <c r="G156" s="1467"/>
      <c r="H156" s="1467"/>
      <c r="I156" s="1474" t="s">
        <v>107</v>
      </c>
      <c r="J156" s="1470"/>
      <c r="K156" s="1352"/>
      <c r="L156" s="1471">
        <f>J156*K156</f>
        <v>0</v>
      </c>
      <c r="M156" s="1472" t="str">
        <f>IFERROR(IF((VLOOKUP(N156,Überblick!$M$124:$N$132,2))="ja","ja","nein"),"")</f>
        <v/>
      </c>
      <c r="N156" s="1473"/>
      <c r="O156" s="38">
        <f>IF(AND(I156="ja",J156=""),1,0)</f>
        <v>0</v>
      </c>
      <c r="P156" s="44">
        <f t="shared" si="60"/>
        <v>0</v>
      </c>
      <c r="Q156" s="38">
        <f>IF(AND(N156&lt;1,I156="ja"),1,0)</f>
        <v>0</v>
      </c>
      <c r="R156" s="38"/>
      <c r="S156" s="297"/>
      <c r="T156" s="297"/>
      <c r="U156" s="297"/>
      <c r="V156" s="297"/>
      <c r="W156" s="297"/>
      <c r="X156" s="379"/>
      <c r="Y156" s="379"/>
      <c r="Z156" s="625"/>
      <c r="AA156" s="622"/>
      <c r="AD156" s="38"/>
      <c r="AE156" s="38"/>
      <c r="AF156" s="38"/>
      <c r="AG156" s="38"/>
      <c r="AH156" s="38"/>
      <c r="AI156" s="38"/>
      <c r="AJ156" s="38"/>
      <c r="AK156" s="38"/>
      <c r="AL156" s="38"/>
      <c r="AM156" s="38"/>
    </row>
    <row r="157" spans="1:43" ht="14.25" hidden="1" customHeight="1" outlineLevel="1" x14ac:dyDescent="0.25">
      <c r="A157" s="365"/>
      <c r="B157" s="1466"/>
      <c r="C157" s="1467"/>
      <c r="D157" s="1467"/>
      <c r="E157" s="1467"/>
      <c r="F157" s="1467"/>
      <c r="G157" s="1467"/>
      <c r="H157" s="1467"/>
      <c r="I157" s="1475"/>
      <c r="J157" s="1470"/>
      <c r="K157" s="1352"/>
      <c r="L157" s="1471"/>
      <c r="M157" s="1472"/>
      <c r="N157" s="1473"/>
      <c r="O157" s="38"/>
      <c r="P157" s="44"/>
      <c r="Q157" s="38"/>
      <c r="R157" s="38"/>
      <c r="S157" s="297"/>
      <c r="T157" s="297"/>
      <c r="U157" s="297"/>
      <c r="V157" s="297"/>
      <c r="W157" s="297"/>
      <c r="X157" s="379"/>
      <c r="Y157" s="379"/>
      <c r="Z157" s="625"/>
      <c r="AA157" s="622"/>
      <c r="AD157" s="38"/>
      <c r="AE157" s="38"/>
      <c r="AF157" s="38"/>
      <c r="AG157" s="38"/>
      <c r="AH157" s="38"/>
      <c r="AI157" s="38"/>
      <c r="AJ157" s="38"/>
      <c r="AK157" s="38"/>
      <c r="AL157" s="38"/>
      <c r="AM157" s="38"/>
    </row>
    <row r="158" spans="1:43" ht="14.25" hidden="1" customHeight="1" outlineLevel="1" x14ac:dyDescent="0.25">
      <c r="A158" s="365"/>
      <c r="B158" s="1466"/>
      <c r="C158" s="1467"/>
      <c r="D158" s="1467"/>
      <c r="E158" s="1467"/>
      <c r="F158" s="1467"/>
      <c r="G158" s="1467"/>
      <c r="H158" s="1467"/>
      <c r="I158" s="1474" t="s">
        <v>107</v>
      </c>
      <c r="J158" s="1470"/>
      <c r="K158" s="1352"/>
      <c r="L158" s="1471">
        <f>J158*K158</f>
        <v>0</v>
      </c>
      <c r="M158" s="1472" t="str">
        <f>IFERROR(IF((VLOOKUP(N158,Überblick!$M$124:$N$132,2))="ja","ja","nein"),"")</f>
        <v/>
      </c>
      <c r="N158" s="1473"/>
      <c r="O158" s="38">
        <f>IF(AND(I158="ja",J158=""),1,0)</f>
        <v>0</v>
      </c>
      <c r="P158" s="44">
        <f t="shared" si="60"/>
        <v>0</v>
      </c>
      <c r="Q158" s="38">
        <f>IF(AND(N158&lt;1,I158="ja"),1,0)</f>
        <v>0</v>
      </c>
      <c r="R158" s="38"/>
      <c r="S158" s="297"/>
      <c r="T158" s="297"/>
      <c r="U158" s="297"/>
      <c r="V158" s="297"/>
      <c r="W158" s="297"/>
      <c r="X158" s="379"/>
      <c r="Y158" s="379"/>
      <c r="Z158" s="625"/>
      <c r="AA158" s="622"/>
      <c r="AD158" s="38"/>
      <c r="AE158" s="38"/>
      <c r="AF158" s="38"/>
      <c r="AG158" s="38"/>
      <c r="AH158" s="38"/>
      <c r="AI158" s="38"/>
      <c r="AJ158" s="38"/>
      <c r="AK158" s="38"/>
      <c r="AL158" s="38"/>
      <c r="AM158" s="38"/>
    </row>
    <row r="159" spans="1:43" ht="14.25" hidden="1" customHeight="1" outlineLevel="1" x14ac:dyDescent="0.25">
      <c r="A159" s="365"/>
      <c r="B159" s="1466"/>
      <c r="C159" s="1467"/>
      <c r="D159" s="1467"/>
      <c r="E159" s="1467"/>
      <c r="F159" s="1467"/>
      <c r="G159" s="1467"/>
      <c r="H159" s="1467"/>
      <c r="I159" s="1475"/>
      <c r="J159" s="1470"/>
      <c r="K159" s="1352"/>
      <c r="L159" s="1471"/>
      <c r="M159" s="1472"/>
      <c r="N159" s="1473"/>
      <c r="O159" s="38"/>
      <c r="P159" s="44"/>
      <c r="Q159" s="38"/>
      <c r="R159" s="38"/>
      <c r="S159" s="297"/>
      <c r="T159" s="297"/>
      <c r="U159" s="297"/>
      <c r="V159" s="297"/>
      <c r="W159" s="297"/>
      <c r="X159" s="379"/>
      <c r="Y159" s="379"/>
      <c r="Z159" s="625"/>
      <c r="AA159" s="622"/>
      <c r="AD159" s="38"/>
      <c r="AE159" s="38"/>
      <c r="AF159" s="38"/>
      <c r="AG159" s="38"/>
      <c r="AH159" s="38"/>
      <c r="AI159" s="38"/>
      <c r="AJ159" s="38"/>
      <c r="AK159" s="38"/>
      <c r="AL159" s="38"/>
      <c r="AM159" s="38"/>
    </row>
    <row r="160" spans="1:43" ht="14.25" hidden="1" customHeight="1" outlineLevel="1" x14ac:dyDescent="0.25">
      <c r="A160" s="365"/>
      <c r="B160" s="1466"/>
      <c r="C160" s="1467"/>
      <c r="D160" s="1467"/>
      <c r="E160" s="1467"/>
      <c r="F160" s="1467"/>
      <c r="G160" s="1467"/>
      <c r="H160" s="1467"/>
      <c r="I160" s="1474" t="s">
        <v>107</v>
      </c>
      <c r="J160" s="1470"/>
      <c r="K160" s="1352"/>
      <c r="L160" s="1471">
        <f>J160*K160</f>
        <v>0</v>
      </c>
      <c r="M160" s="1472" t="str">
        <f>IFERROR(IF((VLOOKUP(N160,Überblick!$M$124:$N$132,2))="ja","ja","nein"),"")</f>
        <v/>
      </c>
      <c r="N160" s="1473"/>
      <c r="O160" s="38">
        <f>IF(AND(I160="ja",J160=""),1,0)</f>
        <v>0</v>
      </c>
      <c r="P160" s="44">
        <f t="shared" si="60"/>
        <v>0</v>
      </c>
      <c r="Q160" s="38">
        <f>IF(AND(N160&lt;1,I160="ja"),1,0)</f>
        <v>0</v>
      </c>
      <c r="R160" s="38"/>
      <c r="S160" s="297"/>
      <c r="T160" s="297"/>
      <c r="U160" s="297"/>
      <c r="V160" s="297"/>
      <c r="W160" s="297"/>
      <c r="X160" s="379"/>
      <c r="Y160" s="379"/>
      <c r="Z160" s="625"/>
      <c r="AA160" s="622"/>
      <c r="AD160" s="38"/>
      <c r="AE160" s="38"/>
      <c r="AF160" s="38"/>
      <c r="AG160" s="38"/>
      <c r="AH160" s="38"/>
      <c r="AI160" s="38"/>
      <c r="AJ160" s="38"/>
      <c r="AK160" s="38"/>
      <c r="AL160" s="38"/>
      <c r="AM160" s="38"/>
    </row>
    <row r="161" spans="1:43" ht="14.25" hidden="1" customHeight="1" outlineLevel="1" x14ac:dyDescent="0.25">
      <c r="A161" s="365"/>
      <c r="B161" s="1466"/>
      <c r="C161" s="1467"/>
      <c r="D161" s="1467"/>
      <c r="E161" s="1467"/>
      <c r="F161" s="1467"/>
      <c r="G161" s="1467"/>
      <c r="H161" s="1467"/>
      <c r="I161" s="1475"/>
      <c r="J161" s="1470"/>
      <c r="K161" s="1352"/>
      <c r="L161" s="1471"/>
      <c r="M161" s="1472"/>
      <c r="N161" s="1473"/>
      <c r="O161" s="38"/>
      <c r="P161" s="44"/>
      <c r="Q161" s="38"/>
      <c r="R161" s="38"/>
      <c r="S161" s="297"/>
      <c r="T161" s="297"/>
      <c r="U161" s="297"/>
      <c r="V161" s="297"/>
      <c r="W161" s="297"/>
      <c r="X161" s="379"/>
      <c r="Y161" s="379"/>
      <c r="Z161" s="625"/>
      <c r="AA161" s="622"/>
      <c r="AD161" s="38"/>
      <c r="AE161" s="38"/>
      <c r="AF161" s="38"/>
      <c r="AG161" s="38"/>
      <c r="AH161" s="38"/>
      <c r="AI161" s="38"/>
      <c r="AJ161" s="38"/>
      <c r="AK161" s="38"/>
      <c r="AL161" s="38"/>
      <c r="AM161" s="38"/>
    </row>
    <row r="162" spans="1:43" ht="14.25" hidden="1" customHeight="1" outlineLevel="1" x14ac:dyDescent="0.25">
      <c r="A162" s="365"/>
      <c r="B162" s="1466"/>
      <c r="C162" s="1467"/>
      <c r="D162" s="1467"/>
      <c r="E162" s="1467"/>
      <c r="F162" s="1467"/>
      <c r="G162" s="1467"/>
      <c r="H162" s="1467"/>
      <c r="I162" s="1469" t="s">
        <v>107</v>
      </c>
      <c r="J162" s="1470"/>
      <c r="K162" s="1352"/>
      <c r="L162" s="1471">
        <f>J162*K162</f>
        <v>0</v>
      </c>
      <c r="M162" s="1472" t="str">
        <f>IFERROR(IF((VLOOKUP(N162,Überblick!$M$124:$N$132,2))="ja","ja","nein"),"")</f>
        <v/>
      </c>
      <c r="N162" s="1473"/>
      <c r="O162" s="38">
        <f>IF(AND(I162="ja",J162=""),1,0)</f>
        <v>0</v>
      </c>
      <c r="P162" s="44">
        <f t="shared" si="60"/>
        <v>0</v>
      </c>
      <c r="Q162" s="38">
        <f>IF(AND(N162&lt;1,I162="ja"),1,0)</f>
        <v>0</v>
      </c>
      <c r="R162" s="38"/>
      <c r="S162" s="297"/>
      <c r="T162" s="297"/>
      <c r="U162" s="297"/>
      <c r="V162" s="297"/>
      <c r="W162" s="297"/>
      <c r="X162" s="379"/>
      <c r="Y162" s="379"/>
      <c r="Z162" s="625"/>
      <c r="AA162" s="622"/>
      <c r="AD162" s="38"/>
      <c r="AE162" s="38"/>
      <c r="AF162" s="38"/>
      <c r="AG162" s="38"/>
      <c r="AH162" s="38"/>
      <c r="AI162" s="38"/>
      <c r="AJ162" s="38"/>
      <c r="AK162" s="38"/>
      <c r="AL162" s="38"/>
      <c r="AM162" s="38"/>
    </row>
    <row r="163" spans="1:43" ht="14.25" hidden="1" customHeight="1" outlineLevel="1" thickBot="1" x14ac:dyDescent="0.3">
      <c r="A163" s="365"/>
      <c r="B163" s="1476"/>
      <c r="C163" s="1477"/>
      <c r="D163" s="1477"/>
      <c r="E163" s="1477"/>
      <c r="F163" s="1477"/>
      <c r="G163" s="1477"/>
      <c r="H163" s="1477"/>
      <c r="I163" s="1478"/>
      <c r="J163" s="1479"/>
      <c r="K163" s="1359"/>
      <c r="L163" s="1480"/>
      <c r="M163" s="1481"/>
      <c r="N163" s="1482"/>
      <c r="O163" s="38"/>
      <c r="P163" s="44"/>
      <c r="Q163" s="38"/>
      <c r="R163" s="38"/>
      <c r="S163" s="297"/>
      <c r="T163" s="297"/>
      <c r="U163" s="297"/>
      <c r="V163" s="297"/>
      <c r="W163" s="297"/>
      <c r="X163" s="379"/>
      <c r="Y163" s="379"/>
      <c r="Z163" s="625"/>
      <c r="AA163" s="622"/>
      <c r="AD163" s="38"/>
      <c r="AE163" s="38"/>
      <c r="AF163" s="38"/>
      <c r="AG163" s="38"/>
      <c r="AH163" s="38"/>
      <c r="AI163" s="38"/>
      <c r="AJ163" s="38"/>
      <c r="AK163" s="38"/>
      <c r="AL163" s="38"/>
      <c r="AM163" s="38"/>
    </row>
    <row r="164" spans="1:43" ht="14.25" customHeight="1" collapsed="1" x14ac:dyDescent="0.25">
      <c r="A164" s="365"/>
      <c r="B164" s="136"/>
      <c r="C164" s="136"/>
      <c r="D164" s="136"/>
      <c r="E164" s="136"/>
      <c r="F164" s="136"/>
      <c r="G164" s="136"/>
      <c r="H164" s="139"/>
      <c r="I164" s="137"/>
      <c r="J164" s="307"/>
      <c r="K164" s="307"/>
      <c r="L164" s="58">
        <f>SUM(L149:L163)</f>
        <v>0</v>
      </c>
      <c r="M164" s="137"/>
      <c r="N164" s="102"/>
      <c r="O164" s="38"/>
      <c r="P164" s="44"/>
      <c r="Q164" s="58"/>
      <c r="R164" s="38"/>
      <c r="S164" s="38"/>
      <c r="T164" s="38"/>
      <c r="U164" s="38"/>
      <c r="V164" s="38"/>
      <c r="W164" s="38"/>
      <c r="Z164" s="622" t="e">
        <f>IF(#REF!="ja",AA164,0)</f>
        <v>#REF!</v>
      </c>
      <c r="AA164" s="622">
        <v>7.4999999999999997E-2</v>
      </c>
      <c r="AB164" s="120"/>
      <c r="AD164" s="38"/>
      <c r="AE164" s="38"/>
      <c r="AF164" s="38"/>
      <c r="AG164" s="38"/>
      <c r="AH164" s="38"/>
      <c r="AI164" s="38"/>
      <c r="AJ164" s="38"/>
      <c r="AK164" s="38"/>
      <c r="AL164" s="38"/>
      <c r="AM164" s="38"/>
    </row>
    <row r="165" spans="1:43" ht="14.25" hidden="1" customHeight="1" outlineLevel="1" thickBot="1" x14ac:dyDescent="0.3">
      <c r="A165" s="364"/>
      <c r="B165" s="1630" t="s">
        <v>560</v>
      </c>
      <c r="C165" s="1631"/>
      <c r="D165" s="1631"/>
      <c r="E165" s="1631"/>
      <c r="F165" s="1631"/>
      <c r="G165" s="1631"/>
      <c r="H165" s="1631"/>
      <c r="I165" s="1027" t="s">
        <v>164</v>
      </c>
      <c r="J165" s="1527" t="s">
        <v>504</v>
      </c>
      <c r="K165" s="1483" t="s">
        <v>505</v>
      </c>
      <c r="L165" s="1483" t="s">
        <v>561</v>
      </c>
      <c r="M165" s="1483" t="s">
        <v>169</v>
      </c>
      <c r="N165" s="1599" t="s">
        <v>170</v>
      </c>
      <c r="O165" s="38"/>
      <c r="P165" s="44"/>
      <c r="Q165" s="38"/>
      <c r="R165" s="38"/>
      <c r="S165" s="38"/>
      <c r="T165" s="38"/>
      <c r="U165" s="38"/>
      <c r="V165" s="38"/>
      <c r="W165" s="38"/>
      <c r="Z165" s="622"/>
      <c r="AA165" s="622"/>
      <c r="AD165" s="38"/>
      <c r="AE165" s="38"/>
      <c r="AF165" s="38"/>
      <c r="AG165" s="38"/>
      <c r="AH165" s="38"/>
      <c r="AI165" s="38"/>
      <c r="AJ165" s="38"/>
      <c r="AK165" s="38"/>
      <c r="AL165" s="38"/>
      <c r="AM165" s="38"/>
      <c r="AQ165" s="120"/>
    </row>
    <row r="166" spans="1:43" ht="14.25" hidden="1" customHeight="1" outlineLevel="1" thickBot="1" x14ac:dyDescent="0.3">
      <c r="A166" s="364"/>
      <c r="B166" s="1632"/>
      <c r="C166" s="1633"/>
      <c r="D166" s="1633"/>
      <c r="E166" s="1633"/>
      <c r="F166" s="1633"/>
      <c r="G166" s="1633"/>
      <c r="H166" s="1633"/>
      <c r="I166" s="1028"/>
      <c r="J166" s="1528"/>
      <c r="K166" s="1484"/>
      <c r="L166" s="1484"/>
      <c r="M166" s="1484"/>
      <c r="N166" s="1599"/>
      <c r="O166" s="38"/>
      <c r="P166" s="44"/>
      <c r="Q166" s="38"/>
      <c r="R166" s="38"/>
      <c r="S166" s="38"/>
      <c r="T166" s="38"/>
      <c r="U166" s="38"/>
      <c r="V166" s="38"/>
      <c r="W166" s="38"/>
      <c r="Z166" s="622" t="e">
        <f>IF(#REF!="ja",AA166,0)</f>
        <v>#REF!</v>
      </c>
      <c r="AA166" s="622">
        <v>2.5000000000000001E-3</v>
      </c>
      <c r="AD166" s="38"/>
      <c r="AE166" s="38"/>
      <c r="AF166" s="38"/>
      <c r="AG166" s="38"/>
      <c r="AH166" s="38"/>
      <c r="AI166" s="38"/>
      <c r="AJ166" s="38"/>
      <c r="AK166" s="38"/>
      <c r="AL166" s="38"/>
      <c r="AM166" s="38"/>
      <c r="AQ166" s="120"/>
    </row>
    <row r="167" spans="1:43" ht="14.25" hidden="1" customHeight="1" outlineLevel="1" thickBot="1" x14ac:dyDescent="0.3">
      <c r="A167" s="364"/>
      <c r="B167" s="1634"/>
      <c r="C167" s="1635"/>
      <c r="D167" s="1635"/>
      <c r="E167" s="1635"/>
      <c r="F167" s="1635"/>
      <c r="G167" s="1635"/>
      <c r="H167" s="1635"/>
      <c r="I167" s="1029"/>
      <c r="J167" s="1528"/>
      <c r="K167" s="1488"/>
      <c r="L167" s="1488"/>
      <c r="M167" s="1488"/>
      <c r="N167" s="1599"/>
      <c r="O167" s="38"/>
      <c r="P167" s="44"/>
      <c r="Q167" s="38"/>
      <c r="R167" s="38"/>
      <c r="S167" s="38"/>
      <c r="T167" s="38"/>
      <c r="U167" s="38"/>
      <c r="V167" s="38"/>
      <c r="W167" s="38"/>
      <c r="Z167" s="622"/>
      <c r="AA167" s="622"/>
      <c r="AD167" s="38"/>
      <c r="AE167" s="38"/>
      <c r="AF167" s="38"/>
      <c r="AG167" s="38"/>
      <c r="AH167" s="38"/>
      <c r="AI167" s="38"/>
      <c r="AJ167" s="38"/>
      <c r="AK167" s="38"/>
      <c r="AL167" s="38"/>
      <c r="AM167" s="38"/>
      <c r="AQ167" s="120"/>
    </row>
    <row r="168" spans="1:43" ht="14.25" hidden="1" customHeight="1" outlineLevel="1" x14ac:dyDescent="0.25">
      <c r="A168" s="364"/>
      <c r="B168" s="1521" t="s">
        <v>562</v>
      </c>
      <c r="C168" s="1522"/>
      <c r="D168" s="1522"/>
      <c r="E168" s="1522"/>
      <c r="F168" s="1522"/>
      <c r="G168" s="1522"/>
      <c r="H168" s="1522"/>
      <c r="I168" s="1637" t="s">
        <v>107</v>
      </c>
      <c r="J168" s="1523"/>
      <c r="K168" s="1357"/>
      <c r="L168" s="1524">
        <f>J168*K168</f>
        <v>0</v>
      </c>
      <c r="M168" s="1636" t="str">
        <f>IFERROR(IF((VLOOKUP(N168,Überblick!$M$124:$N$132,2))="ja","ja","nein"),"")</f>
        <v/>
      </c>
      <c r="N168" s="1525"/>
      <c r="O168" s="38">
        <f t="shared" ref="O168" si="62">IF(AND(I168="ja",J168=""),1,0)</f>
        <v>0</v>
      </c>
      <c r="P168" s="44">
        <f t="shared" si="60"/>
        <v>0</v>
      </c>
      <c r="Q168" s="38">
        <f>IF(AND(N168&lt;1,I168="ja"),1,0)</f>
        <v>0</v>
      </c>
      <c r="R168" s="38"/>
      <c r="S168" s="297"/>
      <c r="T168" s="297"/>
      <c r="U168" s="297"/>
      <c r="V168" s="297"/>
      <c r="W168" s="297"/>
      <c r="X168" s="379"/>
      <c r="Y168" s="379"/>
      <c r="Z168" s="622"/>
      <c r="AA168" s="622"/>
      <c r="AD168" s="38"/>
      <c r="AE168" s="38"/>
      <c r="AF168" s="38"/>
      <c r="AG168" s="38"/>
      <c r="AH168" s="38"/>
      <c r="AI168" s="38"/>
      <c r="AJ168" s="38"/>
      <c r="AK168" s="38"/>
      <c r="AL168" s="38"/>
      <c r="AM168" s="38"/>
      <c r="AQ168" s="120"/>
    </row>
    <row r="169" spans="1:43" ht="14.25" hidden="1" customHeight="1" outlineLevel="1" x14ac:dyDescent="0.25">
      <c r="A169" s="364"/>
      <c r="B169" s="1516"/>
      <c r="C169" s="1517"/>
      <c r="D169" s="1517"/>
      <c r="E169" s="1517"/>
      <c r="F169" s="1517"/>
      <c r="G169" s="1517"/>
      <c r="H169" s="1517"/>
      <c r="I169" s="1475"/>
      <c r="J169" s="1503"/>
      <c r="K169" s="1419"/>
      <c r="L169" s="1506"/>
      <c r="M169" s="1507"/>
      <c r="N169" s="1510"/>
      <c r="O169" s="38"/>
      <c r="P169" s="44"/>
      <c r="Q169" s="38"/>
      <c r="R169" s="38"/>
      <c r="S169" s="297"/>
      <c r="T169" s="297"/>
      <c r="U169" s="297"/>
      <c r="V169" s="297"/>
      <c r="W169" s="297"/>
      <c r="X169" s="379"/>
      <c r="Y169" s="379"/>
      <c r="Z169" s="622"/>
      <c r="AA169" s="622"/>
      <c r="AD169" s="38"/>
      <c r="AE169" s="38"/>
      <c r="AF169" s="38"/>
      <c r="AG169" s="38"/>
      <c r="AH169" s="38"/>
      <c r="AI169" s="38"/>
      <c r="AJ169" s="38"/>
      <c r="AK169" s="38"/>
      <c r="AL169" s="38"/>
      <c r="AM169" s="38"/>
      <c r="AQ169" s="120"/>
    </row>
    <row r="170" spans="1:43" ht="14.25" hidden="1" customHeight="1" outlineLevel="1" x14ac:dyDescent="0.25">
      <c r="A170" s="364"/>
      <c r="B170" s="1466"/>
      <c r="C170" s="1467"/>
      <c r="D170" s="1467"/>
      <c r="E170" s="1467"/>
      <c r="F170" s="1467"/>
      <c r="G170" s="1467"/>
      <c r="H170" s="1467"/>
      <c r="I170" s="1468"/>
      <c r="J170" s="1470"/>
      <c r="K170" s="1352"/>
      <c r="L170" s="1471"/>
      <c r="M170" s="1472"/>
      <c r="N170" s="1473"/>
      <c r="O170" s="38"/>
      <c r="P170" s="44"/>
      <c r="Q170" s="38"/>
      <c r="R170" s="38"/>
      <c r="S170" s="297"/>
      <c r="T170" s="297"/>
      <c r="U170" s="297"/>
      <c r="V170" s="297"/>
      <c r="W170" s="297"/>
      <c r="X170" s="379"/>
      <c r="Y170" s="379"/>
      <c r="Z170" s="622"/>
      <c r="AA170" s="622"/>
      <c r="AD170" s="38"/>
      <c r="AE170" s="38"/>
      <c r="AF170" s="38"/>
      <c r="AG170" s="38"/>
      <c r="AH170" s="38"/>
      <c r="AI170" s="38"/>
      <c r="AJ170" s="38"/>
      <c r="AK170" s="38"/>
      <c r="AL170" s="38"/>
      <c r="AM170" s="38"/>
      <c r="AQ170" s="120"/>
    </row>
    <row r="171" spans="1:43" ht="14.25" hidden="1" customHeight="1" outlineLevel="1" x14ac:dyDescent="0.25">
      <c r="A171" s="364"/>
      <c r="B171" s="1466"/>
      <c r="C171" s="1467"/>
      <c r="D171" s="1467"/>
      <c r="E171" s="1467"/>
      <c r="F171" s="1467"/>
      <c r="G171" s="1467"/>
      <c r="H171" s="1467"/>
      <c r="I171" s="1468"/>
      <c r="J171" s="1470"/>
      <c r="K171" s="1352"/>
      <c r="L171" s="1471"/>
      <c r="M171" s="1472"/>
      <c r="N171" s="1473"/>
      <c r="O171" s="38"/>
      <c r="P171" s="44"/>
      <c r="Q171" s="38"/>
      <c r="R171" s="38"/>
      <c r="S171" s="297"/>
      <c r="T171" s="297"/>
      <c r="U171" s="297"/>
      <c r="V171" s="297"/>
      <c r="W171" s="297"/>
      <c r="X171" s="379"/>
      <c r="Y171" s="379"/>
      <c r="Z171" s="622"/>
      <c r="AA171" s="622"/>
      <c r="AD171" s="38"/>
      <c r="AE171" s="38"/>
      <c r="AF171" s="38"/>
      <c r="AG171" s="38"/>
      <c r="AH171" s="38"/>
      <c r="AI171" s="38"/>
      <c r="AJ171" s="38"/>
      <c r="AK171" s="38"/>
      <c r="AL171" s="38"/>
      <c r="AM171" s="38"/>
      <c r="AQ171" s="120"/>
    </row>
    <row r="172" spans="1:43" ht="14.25" hidden="1" customHeight="1" outlineLevel="1" x14ac:dyDescent="0.25">
      <c r="A172" s="364"/>
      <c r="B172" s="1466" t="s">
        <v>563</v>
      </c>
      <c r="C172" s="1467"/>
      <c r="D172" s="1467"/>
      <c r="E172" s="1467"/>
      <c r="F172" s="1467"/>
      <c r="G172" s="1467"/>
      <c r="H172" s="1467"/>
      <c r="I172" s="1474" t="s">
        <v>107</v>
      </c>
      <c r="J172" s="1470"/>
      <c r="K172" s="1352"/>
      <c r="L172" s="1471">
        <f>J172*K172</f>
        <v>0</v>
      </c>
      <c r="M172" s="1472" t="str">
        <f>IFERROR(IF((VLOOKUP(N172,Überblick!$M$124:$N$132,2))="ja","ja","nein"),"")</f>
        <v/>
      </c>
      <c r="N172" s="1473"/>
      <c r="O172" s="38">
        <f t="shared" ref="O172" si="63">IF(AND(I172="ja",J172=""),1,0)</f>
        <v>0</v>
      </c>
      <c r="P172" s="44">
        <f t="shared" si="60"/>
        <v>0</v>
      </c>
      <c r="Q172" s="38">
        <f>IF(AND(N172&lt;1,I172="ja"),1,0)</f>
        <v>0</v>
      </c>
      <c r="R172" s="38"/>
      <c r="S172" s="297"/>
      <c r="T172" s="297"/>
      <c r="U172" s="297"/>
      <c r="V172" s="297"/>
      <c r="W172" s="297"/>
      <c r="X172" s="379"/>
      <c r="Y172" s="379"/>
      <c r="Z172" s="625"/>
      <c r="AA172" s="622"/>
      <c r="AD172" s="38"/>
      <c r="AE172" s="38"/>
      <c r="AF172" s="38"/>
      <c r="AG172" s="38"/>
      <c r="AH172" s="38"/>
      <c r="AI172" s="38"/>
      <c r="AJ172" s="38"/>
      <c r="AK172" s="38"/>
      <c r="AL172" s="38"/>
      <c r="AM172" s="38"/>
      <c r="AQ172" s="120"/>
    </row>
    <row r="173" spans="1:43" ht="14.25" hidden="1" customHeight="1" outlineLevel="1" x14ac:dyDescent="0.25">
      <c r="A173" s="364"/>
      <c r="B173" s="1466"/>
      <c r="C173" s="1467"/>
      <c r="D173" s="1467"/>
      <c r="E173" s="1467"/>
      <c r="F173" s="1467"/>
      <c r="G173" s="1467"/>
      <c r="H173" s="1467"/>
      <c r="I173" s="1475"/>
      <c r="J173" s="1470"/>
      <c r="K173" s="1352"/>
      <c r="L173" s="1471"/>
      <c r="M173" s="1472"/>
      <c r="N173" s="1473"/>
      <c r="O173" s="38"/>
      <c r="P173" s="44"/>
      <c r="Q173" s="38"/>
      <c r="R173" s="38"/>
      <c r="S173" s="297"/>
      <c r="T173" s="297"/>
      <c r="U173" s="297"/>
      <c r="V173" s="297"/>
      <c r="W173" s="297"/>
      <c r="X173" s="379"/>
      <c r="Y173" s="379"/>
      <c r="Z173" s="622" t="e">
        <f>SUM(Z146:Z172)</f>
        <v>#REF!</v>
      </c>
      <c r="AA173" s="119"/>
      <c r="AB173" s="119"/>
      <c r="AD173" s="38"/>
      <c r="AE173" s="38"/>
      <c r="AF173" s="38"/>
      <c r="AG173" s="38"/>
      <c r="AH173" s="38"/>
      <c r="AI173" s="38"/>
      <c r="AJ173" s="38"/>
      <c r="AK173" s="38"/>
      <c r="AL173" s="38"/>
      <c r="AM173" s="38"/>
      <c r="AQ173" s="35"/>
    </row>
    <row r="174" spans="1:43" ht="14.25" hidden="1" customHeight="1" outlineLevel="1" x14ac:dyDescent="0.25">
      <c r="A174" s="364"/>
      <c r="B174" s="1466" t="s">
        <v>564</v>
      </c>
      <c r="C174" s="1467"/>
      <c r="D174" s="1467"/>
      <c r="E174" s="1467"/>
      <c r="F174" s="1467"/>
      <c r="G174" s="1467"/>
      <c r="H174" s="1467"/>
      <c r="I174" s="1474" t="s">
        <v>107</v>
      </c>
      <c r="J174" s="1470"/>
      <c r="K174" s="1352"/>
      <c r="L174" s="1471">
        <f>J174*K174</f>
        <v>0</v>
      </c>
      <c r="M174" s="1472" t="str">
        <f>IFERROR(IF((VLOOKUP(N174,Überblick!$M$124:$N$132,2))="ja","ja","nein"),"")</f>
        <v/>
      </c>
      <c r="N174" s="1473"/>
      <c r="O174" s="38">
        <f t="shared" ref="O174" si="64">IF(AND(I174="ja",J174=""),1,0)</f>
        <v>0</v>
      </c>
      <c r="P174" s="44">
        <f t="shared" si="60"/>
        <v>0</v>
      </c>
      <c r="Q174" s="38">
        <f>IF(AND(N174&lt;1,I174="ja"),1,0)</f>
        <v>0</v>
      </c>
      <c r="R174" s="38"/>
      <c r="S174" s="297"/>
      <c r="T174" s="297"/>
      <c r="U174" s="297"/>
      <c r="V174" s="297"/>
      <c r="W174" s="297"/>
      <c r="X174" s="379"/>
      <c r="Y174" s="379"/>
      <c r="Z174" s="625"/>
      <c r="AA174" s="622"/>
      <c r="AD174" s="38"/>
      <c r="AE174" s="38"/>
      <c r="AF174" s="38"/>
      <c r="AG174" s="38"/>
      <c r="AH174" s="38"/>
      <c r="AI174" s="38"/>
      <c r="AJ174" s="38"/>
      <c r="AK174" s="38"/>
      <c r="AL174" s="38"/>
      <c r="AM174" s="38"/>
      <c r="AQ174" s="120"/>
    </row>
    <row r="175" spans="1:43" ht="14.25" hidden="1" customHeight="1" outlineLevel="1" x14ac:dyDescent="0.25">
      <c r="A175" s="364"/>
      <c r="B175" s="1466"/>
      <c r="C175" s="1467"/>
      <c r="D175" s="1467"/>
      <c r="E175" s="1467"/>
      <c r="F175" s="1467"/>
      <c r="G175" s="1467"/>
      <c r="H175" s="1467"/>
      <c r="I175" s="1475"/>
      <c r="J175" s="1470"/>
      <c r="K175" s="1352"/>
      <c r="L175" s="1471"/>
      <c r="M175" s="1472"/>
      <c r="N175" s="1473"/>
      <c r="O175" s="38"/>
      <c r="P175" s="44"/>
      <c r="Q175" s="38"/>
      <c r="R175" s="38"/>
      <c r="S175" s="297"/>
      <c r="T175" s="297"/>
      <c r="U175" s="297"/>
      <c r="V175" s="297"/>
      <c r="W175" s="297"/>
      <c r="X175" s="379"/>
      <c r="Y175" s="379"/>
      <c r="Z175" s="622" t="e">
        <f>SUM(Z148:Z174)</f>
        <v>#REF!</v>
      </c>
      <c r="AA175" s="119"/>
      <c r="AB175" s="119"/>
      <c r="AD175" s="38"/>
      <c r="AE175" s="38"/>
      <c r="AF175" s="38"/>
      <c r="AG175" s="38"/>
      <c r="AH175" s="38"/>
      <c r="AI175" s="38"/>
      <c r="AJ175" s="38"/>
      <c r="AK175" s="38"/>
      <c r="AL175" s="38"/>
      <c r="AM175" s="38"/>
      <c r="AQ175" s="35"/>
    </row>
    <row r="176" spans="1:43" ht="14.25" hidden="1" customHeight="1" outlineLevel="1" x14ac:dyDescent="0.25">
      <c r="A176" s="364"/>
      <c r="B176" s="1466"/>
      <c r="C176" s="1467"/>
      <c r="D176" s="1467"/>
      <c r="E176" s="1467"/>
      <c r="F176" s="1467"/>
      <c r="G176" s="1467"/>
      <c r="H176" s="1467"/>
      <c r="I176" s="1474" t="s">
        <v>107</v>
      </c>
      <c r="J176" s="1470"/>
      <c r="K176" s="1352"/>
      <c r="L176" s="1471">
        <f>J176*K176</f>
        <v>0</v>
      </c>
      <c r="M176" s="1472" t="str">
        <f>IFERROR(IF((VLOOKUP(N176,Überblick!$M$124:$N$132,2))="ja","ja","nein"),"")</f>
        <v/>
      </c>
      <c r="N176" s="1473"/>
      <c r="O176" s="38">
        <f t="shared" ref="O176" si="65">IF(AND(I176="ja",J176=""),1,0)</f>
        <v>0</v>
      </c>
      <c r="P176" s="44">
        <f t="shared" si="60"/>
        <v>0</v>
      </c>
      <c r="Q176" s="38">
        <f>IF(AND(N176&lt;1,I176="ja"),1,0)</f>
        <v>0</v>
      </c>
      <c r="R176" s="38"/>
      <c r="S176" s="297"/>
      <c r="T176" s="297"/>
      <c r="U176" s="297"/>
      <c r="V176" s="297"/>
      <c r="W176" s="297"/>
      <c r="X176" s="379"/>
      <c r="Y176" s="379"/>
      <c r="Z176" s="625"/>
      <c r="AA176" s="622"/>
      <c r="AD176" s="38"/>
      <c r="AE176" s="38"/>
      <c r="AF176" s="38"/>
      <c r="AG176" s="38"/>
      <c r="AH176" s="38"/>
      <c r="AI176" s="38"/>
      <c r="AJ176" s="38"/>
      <c r="AK176" s="38"/>
      <c r="AL176" s="38"/>
      <c r="AM176" s="38"/>
      <c r="AQ176" s="120"/>
    </row>
    <row r="177" spans="1:43" ht="14.25" hidden="1" customHeight="1" outlineLevel="1" x14ac:dyDescent="0.25">
      <c r="A177" s="364"/>
      <c r="B177" s="1466"/>
      <c r="C177" s="1467"/>
      <c r="D177" s="1467"/>
      <c r="E177" s="1467"/>
      <c r="F177" s="1467"/>
      <c r="G177" s="1467"/>
      <c r="H177" s="1467"/>
      <c r="I177" s="1475"/>
      <c r="J177" s="1470"/>
      <c r="K177" s="1352"/>
      <c r="L177" s="1471"/>
      <c r="M177" s="1472"/>
      <c r="N177" s="1473"/>
      <c r="O177" s="38"/>
      <c r="P177" s="44"/>
      <c r="Q177" s="38"/>
      <c r="R177" s="38"/>
      <c r="S177" s="297"/>
      <c r="T177" s="297"/>
      <c r="U177" s="297"/>
      <c r="V177" s="297"/>
      <c r="W177" s="297"/>
      <c r="X177" s="379"/>
      <c r="Y177" s="379"/>
      <c r="Z177" s="622" t="e">
        <f>SUM(Z148:Z176)</f>
        <v>#REF!</v>
      </c>
      <c r="AA177" s="119"/>
      <c r="AB177" s="119"/>
      <c r="AD177" s="38"/>
      <c r="AE177" s="38"/>
      <c r="AF177" s="38"/>
      <c r="AG177" s="38"/>
      <c r="AH177" s="38"/>
      <c r="AI177" s="38"/>
      <c r="AJ177" s="38"/>
      <c r="AK177" s="38"/>
      <c r="AL177" s="38"/>
      <c r="AM177" s="38"/>
      <c r="AQ177" s="35"/>
    </row>
    <row r="178" spans="1:43" ht="14.25" hidden="1" customHeight="1" outlineLevel="1" x14ac:dyDescent="0.25">
      <c r="A178" s="364"/>
      <c r="B178" s="1466"/>
      <c r="C178" s="1467"/>
      <c r="D178" s="1467"/>
      <c r="E178" s="1467"/>
      <c r="F178" s="1467"/>
      <c r="G178" s="1467"/>
      <c r="H178" s="1467"/>
      <c r="I178" s="1474" t="s">
        <v>107</v>
      </c>
      <c r="J178" s="1470"/>
      <c r="K178" s="1352"/>
      <c r="L178" s="1471">
        <f>J178*K178</f>
        <v>0</v>
      </c>
      <c r="M178" s="1472" t="str">
        <f>IFERROR(IF((VLOOKUP(N178,Überblick!$M$124:$N$132,2))="ja","ja","nein"),"")</f>
        <v/>
      </c>
      <c r="N178" s="1473"/>
      <c r="O178" s="38">
        <f t="shared" ref="O178" si="66">IF(AND(I178="ja",J178=""),1,0)</f>
        <v>0</v>
      </c>
      <c r="P178" s="44">
        <f t="shared" si="60"/>
        <v>0</v>
      </c>
      <c r="Q178" s="38">
        <f>IF(AND(N178&lt;1,I178="ja"),1,0)</f>
        <v>0</v>
      </c>
      <c r="R178" s="38"/>
      <c r="S178" s="297"/>
      <c r="T178" s="297"/>
      <c r="U178" s="297"/>
      <c r="V178" s="297"/>
      <c r="W178" s="297"/>
      <c r="X178" s="379"/>
      <c r="Y178" s="379"/>
      <c r="Z178" s="625"/>
      <c r="AA178" s="622"/>
      <c r="AD178" s="38"/>
      <c r="AE178" s="38"/>
      <c r="AF178" s="38"/>
      <c r="AG178" s="38"/>
      <c r="AH178" s="38"/>
      <c r="AI178" s="38"/>
      <c r="AJ178" s="38"/>
      <c r="AK178" s="38"/>
      <c r="AL178" s="38"/>
      <c r="AM178" s="38"/>
      <c r="AQ178" s="120"/>
    </row>
    <row r="179" spans="1:43" ht="14.25" hidden="1" customHeight="1" outlineLevel="1" x14ac:dyDescent="0.25">
      <c r="A179" s="364"/>
      <c r="B179" s="1466"/>
      <c r="C179" s="1467"/>
      <c r="D179" s="1467"/>
      <c r="E179" s="1467"/>
      <c r="F179" s="1467"/>
      <c r="G179" s="1467"/>
      <c r="H179" s="1467"/>
      <c r="I179" s="1475"/>
      <c r="J179" s="1470"/>
      <c r="K179" s="1352"/>
      <c r="L179" s="1471"/>
      <c r="M179" s="1472"/>
      <c r="N179" s="1473"/>
      <c r="O179" s="38"/>
      <c r="P179" s="44"/>
      <c r="Q179" s="38"/>
      <c r="R179" s="38"/>
      <c r="S179" s="297"/>
      <c r="T179" s="297"/>
      <c r="U179" s="297"/>
      <c r="V179" s="297"/>
      <c r="W179" s="297"/>
      <c r="X179" s="379"/>
      <c r="Y179" s="379"/>
      <c r="Z179" s="622" t="e">
        <f>SUM(Z150:Z178)</f>
        <v>#REF!</v>
      </c>
      <c r="AA179" s="119"/>
      <c r="AB179" s="119"/>
      <c r="AD179" s="38"/>
      <c r="AE179" s="38"/>
      <c r="AF179" s="38"/>
      <c r="AG179" s="38"/>
      <c r="AH179" s="38"/>
      <c r="AI179" s="38"/>
      <c r="AJ179" s="38"/>
      <c r="AK179" s="38"/>
      <c r="AL179" s="38"/>
      <c r="AM179" s="38"/>
      <c r="AQ179" s="35"/>
    </row>
    <row r="180" spans="1:43" ht="14.25" hidden="1" customHeight="1" outlineLevel="1" x14ac:dyDescent="0.25">
      <c r="A180" s="365"/>
      <c r="B180" s="1466"/>
      <c r="C180" s="1467"/>
      <c r="D180" s="1467"/>
      <c r="E180" s="1467"/>
      <c r="F180" s="1467"/>
      <c r="G180" s="1467"/>
      <c r="H180" s="1467"/>
      <c r="I180" s="1469" t="s">
        <v>107</v>
      </c>
      <c r="J180" s="1470"/>
      <c r="K180" s="1352"/>
      <c r="L180" s="1471">
        <f>J180*K180</f>
        <v>0</v>
      </c>
      <c r="M180" s="1472" t="str">
        <f>IFERROR(IF((VLOOKUP(N180,Überblick!$M$124:$N$132,2))="ja","ja","nein"),"")</f>
        <v/>
      </c>
      <c r="N180" s="1473"/>
      <c r="O180" s="38">
        <f t="shared" ref="O180" si="67">IF(AND(I180="ja",J180=""),1,0)</f>
        <v>0</v>
      </c>
      <c r="P180" s="44">
        <f t="shared" si="60"/>
        <v>0</v>
      </c>
      <c r="Q180" s="38">
        <f>IF(AND(N180&lt;1,I180="ja"),1,0)</f>
        <v>0</v>
      </c>
      <c r="R180" s="38"/>
      <c r="S180" s="297"/>
      <c r="T180" s="297"/>
      <c r="U180" s="297"/>
      <c r="V180" s="297"/>
      <c r="W180" s="297"/>
      <c r="X180" s="379"/>
      <c r="Y180" s="379"/>
      <c r="Z180" s="622" t="e">
        <f>IF(#REF!="ja",AA180,0)</f>
        <v>#REF!</v>
      </c>
      <c r="AA180" s="622">
        <v>7.4999999999999997E-2</v>
      </c>
      <c r="AB180" s="120"/>
      <c r="AD180" s="38"/>
      <c r="AE180" s="38"/>
      <c r="AF180" s="38"/>
      <c r="AG180" s="38"/>
      <c r="AH180" s="38"/>
      <c r="AI180" s="38"/>
      <c r="AJ180" s="38"/>
      <c r="AK180" s="38"/>
      <c r="AL180" s="38"/>
      <c r="AM180" s="38"/>
      <c r="AQ180" s="121"/>
    </row>
    <row r="181" spans="1:43" ht="14.25" hidden="1" customHeight="1" outlineLevel="1" thickBot="1" x14ac:dyDescent="0.3">
      <c r="A181" s="365"/>
      <c r="B181" s="1476"/>
      <c r="C181" s="1477"/>
      <c r="D181" s="1477"/>
      <c r="E181" s="1477"/>
      <c r="F181" s="1477"/>
      <c r="G181" s="1477"/>
      <c r="H181" s="1477"/>
      <c r="I181" s="1478"/>
      <c r="J181" s="1479"/>
      <c r="K181" s="1359"/>
      <c r="L181" s="1480"/>
      <c r="M181" s="1481"/>
      <c r="N181" s="1482"/>
      <c r="O181" s="38"/>
      <c r="P181" s="44"/>
      <c r="Q181" s="38"/>
      <c r="R181" s="38"/>
      <c r="S181" s="297"/>
      <c r="T181" s="297"/>
      <c r="U181" s="297"/>
      <c r="V181" s="297"/>
      <c r="W181" s="297"/>
      <c r="X181" s="379"/>
      <c r="Y181" s="379"/>
      <c r="Z181" s="622"/>
      <c r="AA181" s="622"/>
      <c r="AB181" s="120"/>
      <c r="AD181" s="38"/>
      <c r="AE181" s="38"/>
      <c r="AF181" s="38"/>
      <c r="AG181" s="38"/>
      <c r="AH181" s="38"/>
      <c r="AI181" s="38"/>
      <c r="AJ181" s="38"/>
      <c r="AK181" s="38"/>
      <c r="AL181" s="38"/>
      <c r="AM181" s="38"/>
      <c r="AQ181" s="121"/>
    </row>
    <row r="182" spans="1:43" ht="14.25" customHeight="1" collapsed="1" x14ac:dyDescent="0.25">
      <c r="B182" s="28"/>
      <c r="C182" s="28"/>
      <c r="D182" s="28"/>
      <c r="E182" s="28"/>
      <c r="F182" s="32"/>
      <c r="G182" s="32"/>
      <c r="H182" s="32"/>
      <c r="I182" s="32"/>
      <c r="J182" s="32"/>
      <c r="K182" s="33"/>
      <c r="L182" s="303">
        <f>SUM(L168:L181)</f>
        <v>0</v>
      </c>
      <c r="M182" s="33"/>
      <c r="N182" s="33"/>
      <c r="O182" s="38"/>
      <c r="P182" s="44"/>
      <c r="Q182" s="38"/>
      <c r="R182" s="298"/>
      <c r="S182" s="298"/>
      <c r="T182" s="298"/>
      <c r="U182" s="298"/>
      <c r="V182" s="298"/>
      <c r="W182" s="298"/>
      <c r="X182" s="629"/>
      <c r="AD182" s="38"/>
      <c r="AE182" s="38"/>
      <c r="AF182" s="38"/>
      <c r="AG182" s="38"/>
      <c r="AH182" s="38"/>
      <c r="AI182" s="38"/>
      <c r="AJ182" s="38"/>
      <c r="AK182" s="38"/>
      <c r="AL182" s="38"/>
      <c r="AM182" s="38"/>
    </row>
    <row r="183" spans="1:43" ht="14.25" hidden="1" customHeight="1" outlineLevel="1" x14ac:dyDescent="0.25">
      <c r="B183" s="1619" t="s">
        <v>565</v>
      </c>
      <c r="C183" s="1527"/>
      <c r="D183" s="1527"/>
      <c r="E183" s="1527"/>
      <c r="F183" s="1527"/>
      <c r="G183" s="1527"/>
      <c r="H183" s="1527"/>
      <c r="I183" s="1623" t="s">
        <v>164</v>
      </c>
      <c r="J183" s="1527" t="s">
        <v>504</v>
      </c>
      <c r="K183" s="1527" t="s">
        <v>505</v>
      </c>
      <c r="L183" s="1485" t="s">
        <v>549</v>
      </c>
      <c r="M183" s="1527" t="s">
        <v>169</v>
      </c>
      <c r="N183" s="1489" t="s">
        <v>170</v>
      </c>
      <c r="O183" s="38"/>
      <c r="P183" s="44"/>
      <c r="Q183" s="298"/>
      <c r="R183" s="298"/>
      <c r="S183" s="298"/>
      <c r="T183" s="298"/>
      <c r="U183" s="298"/>
      <c r="V183" s="298"/>
      <c r="W183" s="298"/>
      <c r="X183" s="629"/>
      <c r="AD183" s="38"/>
      <c r="AE183" s="38"/>
      <c r="AF183" s="38"/>
      <c r="AG183" s="38"/>
      <c r="AH183" s="38"/>
      <c r="AI183" s="38"/>
      <c r="AJ183" s="38"/>
      <c r="AK183" s="38"/>
      <c r="AL183" s="38"/>
      <c r="AM183" s="38"/>
    </row>
    <row r="184" spans="1:43" ht="14.25" hidden="1" customHeight="1" outlineLevel="1" x14ac:dyDescent="0.25">
      <c r="B184" s="1620"/>
      <c r="C184" s="1528"/>
      <c r="D184" s="1528"/>
      <c r="E184" s="1528"/>
      <c r="F184" s="1528"/>
      <c r="G184" s="1528"/>
      <c r="H184" s="1528"/>
      <c r="I184" s="1624"/>
      <c r="J184" s="1528"/>
      <c r="K184" s="1528"/>
      <c r="L184" s="1486"/>
      <c r="M184" s="1528"/>
      <c r="N184" s="1490"/>
      <c r="O184" s="38"/>
      <c r="P184" s="44"/>
      <c r="Q184" s="298"/>
      <c r="R184" s="298"/>
      <c r="S184" s="298"/>
      <c r="T184" s="298"/>
      <c r="U184" s="298"/>
      <c r="V184" s="298"/>
      <c r="W184" s="298"/>
      <c r="X184" s="629"/>
      <c r="AD184" s="38"/>
      <c r="AE184" s="38"/>
      <c r="AF184" s="38"/>
      <c r="AG184" s="38"/>
      <c r="AH184" s="38"/>
      <c r="AI184" s="38"/>
      <c r="AJ184" s="38"/>
      <c r="AK184" s="38"/>
      <c r="AL184" s="38"/>
      <c r="AM184" s="38"/>
    </row>
    <row r="185" spans="1:43" ht="14.25" hidden="1" customHeight="1" outlineLevel="1" thickBot="1" x14ac:dyDescent="0.3">
      <c r="B185" s="1621"/>
      <c r="C185" s="1622"/>
      <c r="D185" s="1622"/>
      <c r="E185" s="1622"/>
      <c r="F185" s="1622"/>
      <c r="G185" s="1622"/>
      <c r="H185" s="1622"/>
      <c r="I185" s="1625"/>
      <c r="J185" s="1622"/>
      <c r="K185" s="1622"/>
      <c r="L185" s="1487"/>
      <c r="M185" s="1622"/>
      <c r="N185" s="1491"/>
      <c r="O185" s="38"/>
      <c r="P185" s="44"/>
      <c r="Q185" s="298"/>
      <c r="R185" s="298"/>
      <c r="S185" s="298"/>
      <c r="T185" s="298"/>
      <c r="U185" s="298"/>
      <c r="V185" s="298"/>
      <c r="W185" s="298"/>
      <c r="X185" s="629"/>
      <c r="AD185" s="38"/>
      <c r="AE185" s="38"/>
      <c r="AF185" s="38"/>
      <c r="AG185" s="38"/>
      <c r="AH185" s="38"/>
      <c r="AI185" s="38"/>
      <c r="AJ185" s="38"/>
      <c r="AK185" s="38"/>
      <c r="AL185" s="38"/>
      <c r="AM185" s="38"/>
    </row>
    <row r="186" spans="1:43" ht="14.25" hidden="1" customHeight="1" outlineLevel="1" x14ac:dyDescent="0.25">
      <c r="B186" s="1516" t="s">
        <v>566</v>
      </c>
      <c r="C186" s="1517"/>
      <c r="D186" s="1517"/>
      <c r="E186" s="1517"/>
      <c r="F186" s="1517"/>
      <c r="G186" s="1517"/>
      <c r="H186" s="1517"/>
      <c r="I186" s="1474" t="s">
        <v>107</v>
      </c>
      <c r="J186" s="1502"/>
      <c r="K186" s="1505"/>
      <c r="L186" s="1125">
        <f>J186*K186</f>
        <v>0</v>
      </c>
      <c r="M186" s="1526" t="str">
        <f>IFERROR(IF((VLOOKUP(N186,Überblick!$M$124:$N$132,2))="ja","ja","nein"),"")</f>
        <v/>
      </c>
      <c r="N186" s="1509"/>
      <c r="O186" s="38">
        <f t="shared" ref="O186" si="68">IF(AND(I186="ja",J186=""),1,0)</f>
        <v>0</v>
      </c>
      <c r="P186" s="44">
        <f t="shared" si="60"/>
        <v>0</v>
      </c>
      <c r="Q186" s="38">
        <f>IF(AND(N186&lt;1,I186="ja"),1,0)</f>
        <v>0</v>
      </c>
      <c r="R186" s="298"/>
      <c r="S186" s="298"/>
      <c r="T186" s="298"/>
      <c r="U186" s="298"/>
      <c r="V186" s="298"/>
      <c r="W186" s="298"/>
      <c r="X186" s="629"/>
      <c r="AD186" s="38"/>
      <c r="AE186" s="38"/>
      <c r="AF186" s="38"/>
      <c r="AG186" s="38"/>
      <c r="AH186" s="38"/>
      <c r="AI186" s="38"/>
      <c r="AJ186" s="38"/>
      <c r="AK186" s="38"/>
      <c r="AL186" s="38"/>
      <c r="AM186" s="38"/>
    </row>
    <row r="187" spans="1:43" ht="14.25" hidden="1" customHeight="1" outlineLevel="1" x14ac:dyDescent="0.25">
      <c r="B187" s="1466"/>
      <c r="C187" s="1467"/>
      <c r="D187" s="1467"/>
      <c r="E187" s="1467"/>
      <c r="F187" s="1467"/>
      <c r="G187" s="1467"/>
      <c r="H187" s="1467"/>
      <c r="I187" s="1474"/>
      <c r="J187" s="1502"/>
      <c r="K187" s="1505"/>
      <c r="L187" s="1125"/>
      <c r="M187" s="1526"/>
      <c r="N187" s="1509"/>
      <c r="O187" s="38"/>
      <c r="P187" s="44"/>
      <c r="Q187" s="298"/>
      <c r="R187" s="298"/>
      <c r="S187" s="298"/>
      <c r="T187" s="298"/>
      <c r="U187" s="298"/>
      <c r="V187" s="298"/>
      <c r="W187" s="298"/>
      <c r="X187" s="629"/>
      <c r="AD187" s="38"/>
      <c r="AE187" s="38"/>
      <c r="AF187" s="38"/>
      <c r="AG187" s="38"/>
      <c r="AH187" s="38"/>
      <c r="AI187" s="38"/>
      <c r="AJ187" s="38"/>
      <c r="AK187" s="38"/>
      <c r="AL187" s="38"/>
      <c r="AM187" s="38"/>
    </row>
    <row r="188" spans="1:43" ht="14.25" hidden="1" customHeight="1" outlineLevel="1" x14ac:dyDescent="0.25">
      <c r="B188" s="1466"/>
      <c r="C188" s="1467"/>
      <c r="D188" s="1467"/>
      <c r="E188" s="1467"/>
      <c r="F188" s="1467"/>
      <c r="G188" s="1467"/>
      <c r="H188" s="1467"/>
      <c r="I188" s="1475"/>
      <c r="J188" s="1503"/>
      <c r="K188" s="1419"/>
      <c r="L188" s="1506"/>
      <c r="M188" s="1507"/>
      <c r="N188" s="1510"/>
      <c r="O188" s="38"/>
      <c r="P188" s="44"/>
      <c r="Q188" s="298"/>
      <c r="R188" s="298"/>
      <c r="S188" s="298"/>
      <c r="T188" s="298"/>
      <c r="U188" s="298"/>
      <c r="V188" s="298"/>
      <c r="W188" s="298"/>
      <c r="X188" s="629"/>
      <c r="AD188" s="38"/>
      <c r="AE188" s="38"/>
      <c r="AF188" s="38"/>
      <c r="AG188" s="38"/>
      <c r="AH188" s="38"/>
      <c r="AI188" s="38"/>
      <c r="AJ188" s="38"/>
      <c r="AK188" s="38"/>
      <c r="AL188" s="38"/>
      <c r="AM188" s="38"/>
    </row>
    <row r="189" spans="1:43" ht="14.25" hidden="1" customHeight="1" outlineLevel="1" x14ac:dyDescent="0.25">
      <c r="B189" s="1466" t="s">
        <v>567</v>
      </c>
      <c r="C189" s="1467"/>
      <c r="D189" s="1467"/>
      <c r="E189" s="1467"/>
      <c r="F189" s="1467"/>
      <c r="G189" s="1467"/>
      <c r="H189" s="1467"/>
      <c r="I189" s="1474" t="s">
        <v>107</v>
      </c>
      <c r="J189" s="1513"/>
      <c r="K189" s="1365"/>
      <c r="L189" s="1471">
        <f t="shared" ref="L189" si="69">J189*K189</f>
        <v>0</v>
      </c>
      <c r="M189" s="1472" t="str">
        <f>IFERROR(IF((VLOOKUP(N189,Überblick!$M$124:$N$132,2))="ja","ja","nein"),"")</f>
        <v/>
      </c>
      <c r="N189" s="1473"/>
      <c r="O189" s="38">
        <f t="shared" ref="O189:O195" si="70">IF(AND(I189="ja",J189=""),1,0)</f>
        <v>0</v>
      </c>
      <c r="P189" s="44">
        <f t="shared" si="60"/>
        <v>0</v>
      </c>
      <c r="Q189" s="38">
        <f>IF(AND(N189&lt;1,I189="ja"),1,0)</f>
        <v>0</v>
      </c>
      <c r="R189" s="298"/>
      <c r="S189" s="298"/>
      <c r="T189" s="298"/>
      <c r="U189" s="298"/>
      <c r="V189" s="298"/>
      <c r="W189" s="298"/>
      <c r="X189" s="629"/>
      <c r="AD189" s="38"/>
      <c r="AE189" s="38"/>
      <c r="AF189" s="38"/>
      <c r="AG189" s="38"/>
      <c r="AH189" s="38"/>
      <c r="AI189" s="38"/>
      <c r="AJ189" s="38"/>
      <c r="AK189" s="38"/>
      <c r="AL189" s="38"/>
      <c r="AM189" s="38"/>
    </row>
    <row r="190" spans="1:43" ht="14.25" hidden="1" customHeight="1" outlineLevel="1" x14ac:dyDescent="0.25">
      <c r="B190" s="1466"/>
      <c r="C190" s="1467"/>
      <c r="D190" s="1467"/>
      <c r="E190" s="1467"/>
      <c r="F190" s="1467"/>
      <c r="G190" s="1467"/>
      <c r="H190" s="1467"/>
      <c r="I190" s="1475"/>
      <c r="J190" s="1503"/>
      <c r="K190" s="1419"/>
      <c r="L190" s="1471"/>
      <c r="M190" s="1472"/>
      <c r="N190" s="1473"/>
      <c r="O190" s="38"/>
      <c r="P190" s="44"/>
      <c r="Q190" s="38"/>
      <c r="R190" s="298"/>
      <c r="S190" s="298"/>
      <c r="T190" s="298"/>
      <c r="U190" s="298"/>
      <c r="V190" s="298"/>
      <c r="W190" s="298"/>
      <c r="X190" s="629"/>
      <c r="AD190" s="38"/>
      <c r="AE190" s="38"/>
      <c r="AF190" s="38"/>
      <c r="AG190" s="38"/>
      <c r="AH190" s="38"/>
      <c r="AI190" s="38"/>
      <c r="AJ190" s="38"/>
      <c r="AK190" s="38"/>
      <c r="AL190" s="38"/>
      <c r="AM190" s="38"/>
    </row>
    <row r="191" spans="1:43" ht="14.25" hidden="1" customHeight="1" outlineLevel="1" x14ac:dyDescent="0.25">
      <c r="B191" s="1466" t="s">
        <v>568</v>
      </c>
      <c r="C191" s="1467"/>
      <c r="D191" s="1467"/>
      <c r="E191" s="1467"/>
      <c r="F191" s="1467"/>
      <c r="G191" s="1467"/>
      <c r="H191" s="1467"/>
      <c r="I191" s="1474" t="s">
        <v>107</v>
      </c>
      <c r="J191" s="1513"/>
      <c r="K191" s="1365"/>
      <c r="L191" s="1471">
        <f t="shared" ref="L191" si="71">J191*K191</f>
        <v>0</v>
      </c>
      <c r="M191" s="1472" t="str">
        <f>IFERROR(IF((VLOOKUP(N191,Überblick!$M$124:$N$132,2))="ja","ja","nein"),"")</f>
        <v/>
      </c>
      <c r="N191" s="1473"/>
      <c r="O191" s="38">
        <f t="shared" si="70"/>
        <v>0</v>
      </c>
      <c r="P191" s="44">
        <f t="shared" si="60"/>
        <v>0</v>
      </c>
      <c r="Q191" s="38">
        <f>IF(AND(N191&lt;1,I191="ja"),1,0)</f>
        <v>0</v>
      </c>
      <c r="R191" s="298"/>
      <c r="S191" s="298"/>
      <c r="T191" s="298"/>
      <c r="U191" s="298"/>
      <c r="V191" s="298"/>
      <c r="W191" s="298"/>
      <c r="X191" s="629"/>
      <c r="AD191" s="38"/>
      <c r="AE191" s="38"/>
      <c r="AF191" s="38"/>
      <c r="AG191" s="38"/>
      <c r="AH191" s="38"/>
      <c r="AI191" s="38"/>
      <c r="AJ191" s="38"/>
      <c r="AK191" s="38"/>
      <c r="AL191" s="38"/>
      <c r="AM191" s="38"/>
    </row>
    <row r="192" spans="1:43" ht="14.25" hidden="1" customHeight="1" outlineLevel="1" x14ac:dyDescent="0.25">
      <c r="B192" s="1466"/>
      <c r="C192" s="1467"/>
      <c r="D192" s="1467"/>
      <c r="E192" s="1467"/>
      <c r="F192" s="1467"/>
      <c r="G192" s="1467"/>
      <c r="H192" s="1467"/>
      <c r="I192" s="1475"/>
      <c r="J192" s="1503"/>
      <c r="K192" s="1419"/>
      <c r="L192" s="1471"/>
      <c r="M192" s="1472"/>
      <c r="N192" s="1473"/>
      <c r="O192" s="38"/>
      <c r="P192" s="44"/>
      <c r="Q192" s="38"/>
      <c r="R192" s="298"/>
      <c r="S192" s="298"/>
      <c r="T192" s="298"/>
      <c r="U192" s="298"/>
      <c r="V192" s="298"/>
      <c r="W192" s="298"/>
      <c r="X192" s="629"/>
      <c r="AD192" s="38"/>
      <c r="AE192" s="38"/>
      <c r="AF192" s="38"/>
      <c r="AG192" s="38"/>
      <c r="AH192" s="38"/>
      <c r="AI192" s="38"/>
      <c r="AJ192" s="38"/>
      <c r="AK192" s="38"/>
      <c r="AL192" s="38"/>
      <c r="AM192" s="38"/>
    </row>
    <row r="193" spans="2:39" ht="14.25" hidden="1" customHeight="1" outlineLevel="1" x14ac:dyDescent="0.25">
      <c r="B193" s="1466" t="s">
        <v>569</v>
      </c>
      <c r="C193" s="1467"/>
      <c r="D193" s="1467"/>
      <c r="E193" s="1467"/>
      <c r="F193" s="1467"/>
      <c r="G193" s="1467"/>
      <c r="H193" s="1467"/>
      <c r="I193" s="1474" t="s">
        <v>107</v>
      </c>
      <c r="J193" s="1513"/>
      <c r="K193" s="1365"/>
      <c r="L193" s="1471">
        <f t="shared" ref="L193" si="72">J193*K193</f>
        <v>0</v>
      </c>
      <c r="M193" s="1472" t="str">
        <f>IFERROR(IF((VLOOKUP(N193,Überblick!$M$124:$N$132,2))="ja","ja","nein"),"")</f>
        <v/>
      </c>
      <c r="N193" s="1473"/>
      <c r="O193" s="38">
        <f t="shared" si="70"/>
        <v>0</v>
      </c>
      <c r="P193" s="44">
        <f t="shared" si="60"/>
        <v>0</v>
      </c>
      <c r="Q193" s="38">
        <f>IF(AND(N193&lt;1,I193="ja"),1,0)</f>
        <v>0</v>
      </c>
      <c r="R193" s="298"/>
      <c r="S193" s="298"/>
      <c r="T193" s="298"/>
      <c r="U193" s="298"/>
      <c r="V193" s="298"/>
      <c r="W193" s="298"/>
      <c r="X193" s="629"/>
      <c r="AD193" s="38"/>
      <c r="AE193" s="38"/>
      <c r="AF193" s="38"/>
      <c r="AG193" s="38"/>
      <c r="AH193" s="38"/>
      <c r="AI193" s="38"/>
      <c r="AJ193" s="38"/>
      <c r="AK193" s="38"/>
      <c r="AL193" s="38"/>
      <c r="AM193" s="38"/>
    </row>
    <row r="194" spans="2:39" ht="14.25" hidden="1" customHeight="1" outlineLevel="1" x14ac:dyDescent="0.25">
      <c r="B194" s="1466"/>
      <c r="C194" s="1467"/>
      <c r="D194" s="1467"/>
      <c r="E194" s="1467"/>
      <c r="F194" s="1467"/>
      <c r="G194" s="1467"/>
      <c r="H194" s="1467"/>
      <c r="I194" s="1475"/>
      <c r="J194" s="1503"/>
      <c r="K194" s="1419"/>
      <c r="L194" s="1471"/>
      <c r="M194" s="1472"/>
      <c r="N194" s="1473"/>
      <c r="O194" s="38"/>
      <c r="P194" s="44"/>
      <c r="Q194" s="38"/>
      <c r="R194" s="298"/>
      <c r="S194" s="298"/>
      <c r="T194" s="298"/>
      <c r="U194" s="298"/>
      <c r="V194" s="298"/>
      <c r="W194" s="298"/>
      <c r="X194" s="629"/>
      <c r="AD194" s="38"/>
      <c r="AE194" s="38"/>
      <c r="AF194" s="38"/>
      <c r="AG194" s="38"/>
      <c r="AH194" s="38"/>
      <c r="AI194" s="38"/>
      <c r="AJ194" s="38"/>
      <c r="AK194" s="38"/>
      <c r="AL194" s="38"/>
      <c r="AM194" s="38"/>
    </row>
    <row r="195" spans="2:39" ht="14.25" hidden="1" customHeight="1" outlineLevel="1" x14ac:dyDescent="0.25">
      <c r="B195" s="1466" t="s">
        <v>570</v>
      </c>
      <c r="C195" s="1467"/>
      <c r="D195" s="1467"/>
      <c r="E195" s="1467"/>
      <c r="F195" s="1467"/>
      <c r="G195" s="1467"/>
      <c r="H195" s="1467"/>
      <c r="I195" s="1468" t="s">
        <v>107</v>
      </c>
      <c r="J195" s="1513"/>
      <c r="K195" s="1365"/>
      <c r="L195" s="1471">
        <f t="shared" ref="L195" si="73">J195*K195</f>
        <v>0</v>
      </c>
      <c r="M195" s="1472" t="str">
        <f>IFERROR(IF((VLOOKUP(N195,Überblick!$M$124:$N$132,2))="ja","ja","nein"),"")</f>
        <v/>
      </c>
      <c r="N195" s="1473"/>
      <c r="O195" s="38">
        <f t="shared" si="70"/>
        <v>0</v>
      </c>
      <c r="P195" s="44">
        <f t="shared" si="60"/>
        <v>0</v>
      </c>
      <c r="Q195" s="38">
        <f>IF(AND(N195&lt;1,I195="ja"),1,0)</f>
        <v>0</v>
      </c>
      <c r="R195" s="298"/>
      <c r="S195" s="298"/>
      <c r="T195" s="298"/>
      <c r="U195" s="298"/>
      <c r="V195" s="298"/>
      <c r="W195" s="298"/>
      <c r="X195" s="629"/>
      <c r="AD195" s="38"/>
      <c r="AE195" s="38"/>
      <c r="AF195" s="38"/>
      <c r="AG195" s="38"/>
      <c r="AH195" s="38"/>
      <c r="AI195" s="38"/>
      <c r="AJ195" s="38"/>
      <c r="AK195" s="38"/>
      <c r="AL195" s="38"/>
      <c r="AM195" s="38"/>
    </row>
    <row r="196" spans="2:39" ht="14.25" hidden="1" customHeight="1" outlineLevel="1" x14ac:dyDescent="0.25">
      <c r="B196" s="1466"/>
      <c r="C196" s="1467"/>
      <c r="D196" s="1467"/>
      <c r="E196" s="1467"/>
      <c r="F196" s="1467"/>
      <c r="G196" s="1467"/>
      <c r="H196" s="1467"/>
      <c r="I196" s="1468"/>
      <c r="J196" s="1502"/>
      <c r="K196" s="1505"/>
      <c r="L196" s="1471"/>
      <c r="M196" s="1472"/>
      <c r="N196" s="1473"/>
      <c r="O196" s="38"/>
      <c r="P196" s="44"/>
      <c r="Q196" s="298"/>
      <c r="R196" s="298"/>
      <c r="S196" s="298"/>
      <c r="T196" s="298"/>
      <c r="U196" s="298"/>
      <c r="V196" s="298"/>
      <c r="W196" s="298"/>
      <c r="X196" s="629"/>
      <c r="AD196" s="38"/>
      <c r="AE196" s="38"/>
      <c r="AF196" s="38"/>
      <c r="AG196" s="38"/>
      <c r="AH196" s="38"/>
      <c r="AI196" s="38"/>
      <c r="AJ196" s="38"/>
      <c r="AK196" s="38"/>
      <c r="AL196" s="38"/>
      <c r="AM196" s="38"/>
    </row>
    <row r="197" spans="2:39" ht="14.25" hidden="1" customHeight="1" outlineLevel="1" x14ac:dyDescent="0.25">
      <c r="B197" s="1466"/>
      <c r="C197" s="1467"/>
      <c r="D197" s="1467"/>
      <c r="E197" s="1467"/>
      <c r="F197" s="1467"/>
      <c r="G197" s="1467"/>
      <c r="H197" s="1467"/>
      <c r="I197" s="1468"/>
      <c r="J197" s="1502"/>
      <c r="K197" s="1505"/>
      <c r="L197" s="1471"/>
      <c r="M197" s="1472"/>
      <c r="N197" s="1473"/>
      <c r="O197" s="38"/>
      <c r="P197" s="44"/>
      <c r="Q197" s="298"/>
      <c r="R197" s="298"/>
      <c r="S197" s="298"/>
      <c r="T197" s="298"/>
      <c r="U197" s="298"/>
      <c r="V197" s="298"/>
      <c r="W197" s="298"/>
      <c r="X197" s="629"/>
      <c r="AD197" s="38"/>
      <c r="AE197" s="38"/>
      <c r="AF197" s="38"/>
      <c r="AG197" s="38"/>
      <c r="AH197" s="38"/>
      <c r="AI197" s="38"/>
      <c r="AJ197" s="38"/>
      <c r="AK197" s="38"/>
      <c r="AL197" s="38"/>
      <c r="AM197" s="38"/>
    </row>
    <row r="198" spans="2:39" ht="14.25" hidden="1" customHeight="1" outlineLevel="1" x14ac:dyDescent="0.25">
      <c r="B198" s="1466"/>
      <c r="C198" s="1467"/>
      <c r="D198" s="1467"/>
      <c r="E198" s="1467"/>
      <c r="F198" s="1467"/>
      <c r="G198" s="1467"/>
      <c r="H198" s="1467"/>
      <c r="I198" s="1468"/>
      <c r="J198" s="1502"/>
      <c r="K198" s="1505"/>
      <c r="L198" s="1471"/>
      <c r="M198" s="1472"/>
      <c r="N198" s="1473"/>
      <c r="O198" s="38"/>
      <c r="P198" s="44"/>
      <c r="Q198" s="298"/>
      <c r="R198" s="298"/>
      <c r="S198" s="298"/>
      <c r="T198" s="298"/>
      <c r="U198" s="298"/>
      <c r="V198" s="298"/>
      <c r="W198" s="298"/>
      <c r="X198" s="629"/>
      <c r="AD198" s="38"/>
      <c r="AE198" s="38"/>
      <c r="AF198" s="38"/>
      <c r="AG198" s="38"/>
      <c r="AH198" s="38"/>
      <c r="AI198" s="38"/>
      <c r="AJ198" s="38"/>
      <c r="AK198" s="38"/>
      <c r="AL198" s="38"/>
      <c r="AM198" s="38"/>
    </row>
    <row r="199" spans="2:39" ht="14.25" hidden="1" customHeight="1" outlineLevel="1" x14ac:dyDescent="0.25">
      <c r="B199" s="1466"/>
      <c r="C199" s="1467"/>
      <c r="D199" s="1467"/>
      <c r="E199" s="1467"/>
      <c r="F199" s="1467"/>
      <c r="G199" s="1467"/>
      <c r="H199" s="1467"/>
      <c r="I199" s="1468"/>
      <c r="J199" s="1503"/>
      <c r="K199" s="1419"/>
      <c r="L199" s="1471"/>
      <c r="M199" s="1472"/>
      <c r="N199" s="1473"/>
      <c r="O199" s="38"/>
      <c r="P199" s="44"/>
      <c r="Q199" s="298"/>
      <c r="R199" s="298"/>
      <c r="S199" s="298"/>
      <c r="T199" s="298"/>
      <c r="U199" s="298"/>
      <c r="V199" s="298"/>
      <c r="W199" s="298"/>
      <c r="X199" s="629"/>
      <c r="AD199" s="38"/>
      <c r="AE199" s="38"/>
      <c r="AF199" s="38"/>
      <c r="AG199" s="38"/>
      <c r="AH199" s="38"/>
      <c r="AI199" s="38"/>
      <c r="AJ199" s="38"/>
      <c r="AK199" s="38"/>
      <c r="AL199" s="38"/>
      <c r="AM199" s="38"/>
    </row>
    <row r="200" spans="2:39" ht="14.25" hidden="1" customHeight="1" outlineLevel="1" x14ac:dyDescent="0.25">
      <c r="B200" s="1466" t="s">
        <v>571</v>
      </c>
      <c r="C200" s="1467"/>
      <c r="D200" s="1467"/>
      <c r="E200" s="1467"/>
      <c r="F200" s="1467"/>
      <c r="G200" s="1467"/>
      <c r="H200" s="1467"/>
      <c r="I200" s="1468" t="s">
        <v>107</v>
      </c>
      <c r="J200" s="1513"/>
      <c r="K200" s="1365"/>
      <c r="L200" s="1471">
        <f t="shared" ref="L200" si="74">J200*K200</f>
        <v>0</v>
      </c>
      <c r="M200" s="1526" t="str">
        <f>IFERROR(IF((VLOOKUP(N200,Überblick!$M$124:$N$132,2))="ja","ja","nein"),"")</f>
        <v/>
      </c>
      <c r="N200" s="1473"/>
      <c r="O200" s="38">
        <f t="shared" ref="O200" si="75">IF(AND(I200="ja",J200=""),1,0)</f>
        <v>0</v>
      </c>
      <c r="P200" s="44">
        <f t="shared" si="60"/>
        <v>0</v>
      </c>
      <c r="Q200" s="38">
        <f>IF(AND(N200&lt;1,I200="ja"),1,0)</f>
        <v>0</v>
      </c>
      <c r="R200" s="298"/>
      <c r="S200" s="298"/>
      <c r="T200" s="298"/>
      <c r="U200" s="298"/>
      <c r="V200" s="298"/>
      <c r="W200" s="298"/>
      <c r="X200" s="629"/>
      <c r="AD200" s="38"/>
      <c r="AE200" s="38"/>
      <c r="AF200" s="38"/>
      <c r="AG200" s="38"/>
      <c r="AH200" s="38"/>
      <c r="AI200" s="38"/>
      <c r="AJ200" s="38"/>
      <c r="AK200" s="38"/>
      <c r="AL200" s="38"/>
      <c r="AM200" s="38"/>
    </row>
    <row r="201" spans="2:39" ht="14.25" hidden="1" customHeight="1" outlineLevel="1" x14ac:dyDescent="0.25">
      <c r="B201" s="1466"/>
      <c r="C201" s="1467"/>
      <c r="D201" s="1467"/>
      <c r="E201" s="1467"/>
      <c r="F201" s="1467"/>
      <c r="G201" s="1467"/>
      <c r="H201" s="1467"/>
      <c r="I201" s="1468"/>
      <c r="J201" s="1502"/>
      <c r="K201" s="1505"/>
      <c r="L201" s="1471"/>
      <c r="M201" s="1526"/>
      <c r="N201" s="1473"/>
      <c r="O201" s="38"/>
      <c r="P201" s="44"/>
      <c r="Q201" s="298"/>
      <c r="R201" s="298"/>
      <c r="S201" s="298"/>
      <c r="T201" s="298"/>
      <c r="U201" s="298"/>
      <c r="V201" s="298"/>
      <c r="W201" s="298"/>
      <c r="X201" s="629"/>
      <c r="AD201" s="38"/>
      <c r="AE201" s="38"/>
      <c r="AF201" s="38"/>
      <c r="AG201" s="38"/>
      <c r="AH201" s="38"/>
      <c r="AI201" s="38"/>
      <c r="AJ201" s="38"/>
      <c r="AK201" s="38"/>
      <c r="AL201" s="38"/>
      <c r="AM201" s="38"/>
    </row>
    <row r="202" spans="2:39" ht="14.25" hidden="1" customHeight="1" outlineLevel="1" x14ac:dyDescent="0.25">
      <c r="B202" s="1466"/>
      <c r="C202" s="1467"/>
      <c r="D202" s="1467"/>
      <c r="E202" s="1467"/>
      <c r="F202" s="1467"/>
      <c r="G202" s="1467"/>
      <c r="H202" s="1467"/>
      <c r="I202" s="1468"/>
      <c r="J202" s="1503"/>
      <c r="K202" s="1419"/>
      <c r="L202" s="1471"/>
      <c r="M202" s="1507"/>
      <c r="N202" s="1473"/>
      <c r="O202" s="38"/>
      <c r="P202" s="44"/>
      <c r="Q202" s="298"/>
      <c r="R202" s="298"/>
      <c r="S202" s="298"/>
      <c r="T202" s="298"/>
      <c r="U202" s="298"/>
      <c r="V202" s="298"/>
      <c r="W202" s="298"/>
      <c r="X202" s="629"/>
      <c r="AD202" s="38"/>
      <c r="AE202" s="38"/>
      <c r="AF202" s="38"/>
      <c r="AG202" s="38"/>
      <c r="AH202" s="38"/>
      <c r="AI202" s="38"/>
      <c r="AJ202" s="38"/>
      <c r="AK202" s="38"/>
      <c r="AL202" s="38"/>
      <c r="AM202" s="38"/>
    </row>
    <row r="203" spans="2:39" ht="14.25" hidden="1" customHeight="1" outlineLevel="1" x14ac:dyDescent="0.25">
      <c r="B203" s="1466" t="s">
        <v>572</v>
      </c>
      <c r="C203" s="1467"/>
      <c r="D203" s="1467"/>
      <c r="E203" s="1467"/>
      <c r="F203" s="1467"/>
      <c r="G203" s="1467"/>
      <c r="H203" s="1467"/>
      <c r="I203" s="1474" t="s">
        <v>107</v>
      </c>
      <c r="J203" s="1513"/>
      <c r="K203" s="1365"/>
      <c r="L203" s="1471">
        <f t="shared" ref="L203" si="76">J203*K203</f>
        <v>0</v>
      </c>
      <c r="M203" s="1472" t="str">
        <f>IFERROR(IF((VLOOKUP(N203,Überblick!$M$124:$N$132,2))="ja","ja","nein"),"")</f>
        <v/>
      </c>
      <c r="N203" s="1473"/>
      <c r="O203" s="38">
        <f t="shared" ref="O203:O207" si="77">IF(AND(I203="ja",J203=""),1,0)</f>
        <v>0</v>
      </c>
      <c r="P203" s="44">
        <f t="shared" ref="P203:P264" si="78">IF(I203="ja",1,0)</f>
        <v>0</v>
      </c>
      <c r="Q203" s="38">
        <f>IF(AND(N203&lt;1,I203="ja"),1,0)</f>
        <v>0</v>
      </c>
      <c r="R203" s="298"/>
      <c r="S203" s="298"/>
      <c r="T203" s="298"/>
      <c r="U203" s="298"/>
      <c r="V203" s="298"/>
      <c r="W203" s="298"/>
      <c r="X203" s="629"/>
      <c r="AD203" s="38"/>
      <c r="AE203" s="38"/>
      <c r="AF203" s="38"/>
      <c r="AG203" s="38"/>
      <c r="AH203" s="38"/>
      <c r="AI203" s="38"/>
      <c r="AJ203" s="38"/>
      <c r="AK203" s="38"/>
      <c r="AL203" s="38"/>
      <c r="AM203" s="38"/>
    </row>
    <row r="204" spans="2:39" ht="14.25" hidden="1" customHeight="1" outlineLevel="1" x14ac:dyDescent="0.25">
      <c r="B204" s="1466"/>
      <c r="C204" s="1467"/>
      <c r="D204" s="1467"/>
      <c r="E204" s="1467"/>
      <c r="F204" s="1467"/>
      <c r="G204" s="1467"/>
      <c r="H204" s="1467"/>
      <c r="I204" s="1475"/>
      <c r="J204" s="1503"/>
      <c r="K204" s="1419"/>
      <c r="L204" s="1471"/>
      <c r="M204" s="1472"/>
      <c r="N204" s="1473"/>
      <c r="O204" s="38"/>
      <c r="P204" s="44"/>
      <c r="Q204" s="298"/>
      <c r="R204" s="298"/>
      <c r="S204" s="298"/>
      <c r="T204" s="298"/>
      <c r="U204" s="298"/>
      <c r="V204" s="298"/>
      <c r="W204" s="298"/>
      <c r="X204" s="629"/>
      <c r="AD204" s="38"/>
      <c r="AE204" s="38"/>
      <c r="AF204" s="38"/>
      <c r="AG204" s="38"/>
      <c r="AH204" s="38"/>
      <c r="AI204" s="38"/>
      <c r="AJ204" s="38"/>
      <c r="AK204" s="38"/>
      <c r="AL204" s="38"/>
      <c r="AM204" s="38"/>
    </row>
    <row r="205" spans="2:39" ht="14.25" hidden="1" customHeight="1" outlineLevel="1" x14ac:dyDescent="0.25">
      <c r="B205" s="1466" t="s">
        <v>573</v>
      </c>
      <c r="C205" s="1467"/>
      <c r="D205" s="1467"/>
      <c r="E205" s="1467"/>
      <c r="F205" s="1467"/>
      <c r="G205" s="1467"/>
      <c r="H205" s="1467"/>
      <c r="I205" s="1474" t="s">
        <v>107</v>
      </c>
      <c r="J205" s="1513"/>
      <c r="K205" s="1365"/>
      <c r="L205" s="1471">
        <f t="shared" ref="L205" si="79">J205*K205</f>
        <v>0</v>
      </c>
      <c r="M205" s="1472" t="str">
        <f>IFERROR(IF((VLOOKUP(N205,Überblick!$M$124:$N$132,2))="ja","ja","nein"),"")</f>
        <v/>
      </c>
      <c r="N205" s="1473"/>
      <c r="O205" s="38">
        <f t="shared" si="77"/>
        <v>0</v>
      </c>
      <c r="P205" s="44">
        <f t="shared" si="78"/>
        <v>0</v>
      </c>
      <c r="Q205" s="38">
        <f>IF(AND(N205&lt;1,I205="ja"),1,0)</f>
        <v>0</v>
      </c>
      <c r="R205" s="298"/>
      <c r="S205" s="298"/>
      <c r="T205" s="298"/>
      <c r="U205" s="298"/>
      <c r="V205" s="298"/>
      <c r="W205" s="298"/>
      <c r="X205" s="629"/>
      <c r="AD205" s="38"/>
      <c r="AE205" s="38"/>
      <c r="AF205" s="38"/>
      <c r="AG205" s="38"/>
      <c r="AH205" s="38"/>
      <c r="AI205" s="38"/>
      <c r="AJ205" s="38"/>
      <c r="AK205" s="38"/>
      <c r="AL205" s="38"/>
      <c r="AM205" s="38"/>
    </row>
    <row r="206" spans="2:39" ht="14.25" hidden="1" customHeight="1" outlineLevel="1" x14ac:dyDescent="0.25">
      <c r="B206" s="1466"/>
      <c r="C206" s="1467"/>
      <c r="D206" s="1467"/>
      <c r="E206" s="1467"/>
      <c r="F206" s="1467"/>
      <c r="G206" s="1467"/>
      <c r="H206" s="1467"/>
      <c r="I206" s="1475"/>
      <c r="J206" s="1503"/>
      <c r="K206" s="1419"/>
      <c r="L206" s="1471"/>
      <c r="M206" s="1472"/>
      <c r="N206" s="1473"/>
      <c r="O206" s="38"/>
      <c r="P206" s="44"/>
      <c r="Q206" s="38"/>
      <c r="R206" s="298"/>
      <c r="S206" s="298"/>
      <c r="T206" s="298"/>
      <c r="U206" s="298"/>
      <c r="V206" s="298"/>
      <c r="W206" s="298"/>
      <c r="X206" s="629"/>
      <c r="AD206" s="38"/>
      <c r="AE206" s="38"/>
      <c r="AF206" s="38"/>
      <c r="AG206" s="38"/>
      <c r="AH206" s="38"/>
      <c r="AI206" s="38"/>
      <c r="AJ206" s="38"/>
      <c r="AK206" s="38"/>
      <c r="AL206" s="38"/>
      <c r="AM206" s="38"/>
    </row>
    <row r="207" spans="2:39" ht="14.25" hidden="1" customHeight="1" outlineLevel="1" x14ac:dyDescent="0.25">
      <c r="B207" s="1466" t="s">
        <v>574</v>
      </c>
      <c r="C207" s="1467"/>
      <c r="D207" s="1467"/>
      <c r="E207" s="1467"/>
      <c r="F207" s="1467"/>
      <c r="G207" s="1467"/>
      <c r="H207" s="1467"/>
      <c r="I207" s="1468" t="s">
        <v>107</v>
      </c>
      <c r="J207" s="1470"/>
      <c r="K207" s="1352"/>
      <c r="L207" s="1471">
        <f t="shared" ref="L207" si="80">J207*K207</f>
        <v>0</v>
      </c>
      <c r="M207" s="1526" t="str">
        <f>IFERROR(IF((VLOOKUP(N207,Überblick!$M$124:$N$132,2))="ja","ja","nein"),"")</f>
        <v/>
      </c>
      <c r="N207" s="1473"/>
      <c r="O207" s="38">
        <f t="shared" si="77"/>
        <v>0</v>
      </c>
      <c r="P207" s="44">
        <f t="shared" si="78"/>
        <v>0</v>
      </c>
      <c r="Q207" s="38">
        <f>IF(AND(N207&lt;1,I207="ja"),1,0)</f>
        <v>0</v>
      </c>
      <c r="R207" s="298"/>
      <c r="S207" s="298"/>
      <c r="T207" s="298"/>
      <c r="U207" s="298"/>
      <c r="V207" s="298"/>
      <c r="W207" s="298"/>
      <c r="X207" s="629"/>
      <c r="AD207" s="38"/>
      <c r="AE207" s="38"/>
      <c r="AF207" s="38"/>
      <c r="AG207" s="38"/>
      <c r="AH207" s="38"/>
      <c r="AI207" s="38"/>
      <c r="AJ207" s="38"/>
      <c r="AK207" s="38"/>
      <c r="AL207" s="38"/>
      <c r="AM207" s="38"/>
    </row>
    <row r="208" spans="2:39" ht="14.25" hidden="1" customHeight="1" outlineLevel="1" x14ac:dyDescent="0.25">
      <c r="B208" s="1466"/>
      <c r="C208" s="1467"/>
      <c r="D208" s="1467"/>
      <c r="E208" s="1467"/>
      <c r="F208" s="1467"/>
      <c r="G208" s="1467"/>
      <c r="H208" s="1467"/>
      <c r="I208" s="1468"/>
      <c r="J208" s="1470"/>
      <c r="K208" s="1352"/>
      <c r="L208" s="1471"/>
      <c r="M208" s="1526"/>
      <c r="N208" s="1473"/>
      <c r="O208" s="38"/>
      <c r="P208" s="44"/>
      <c r="Q208" s="298"/>
      <c r="R208" s="298"/>
      <c r="S208" s="298"/>
      <c r="T208" s="298"/>
      <c r="U208" s="298"/>
      <c r="V208" s="298"/>
      <c r="W208" s="298"/>
      <c r="X208" s="629"/>
      <c r="AD208" s="38"/>
      <c r="AE208" s="38"/>
      <c r="AF208" s="38"/>
      <c r="AG208" s="38"/>
      <c r="AH208" s="38"/>
      <c r="AI208" s="38"/>
      <c r="AJ208" s="38"/>
      <c r="AK208" s="38"/>
      <c r="AL208" s="38"/>
      <c r="AM208" s="38"/>
    </row>
    <row r="209" spans="2:39" ht="14.25" hidden="1" customHeight="1" outlineLevel="1" x14ac:dyDescent="0.25">
      <c r="B209" s="1466"/>
      <c r="C209" s="1467"/>
      <c r="D209" s="1467"/>
      <c r="E209" s="1467"/>
      <c r="F209" s="1467"/>
      <c r="G209" s="1467"/>
      <c r="H209" s="1467"/>
      <c r="I209" s="1468"/>
      <c r="J209" s="1470"/>
      <c r="K209" s="1352"/>
      <c r="L209" s="1471"/>
      <c r="M209" s="1507"/>
      <c r="N209" s="1473"/>
      <c r="O209" s="38"/>
      <c r="P209" s="44"/>
      <c r="Q209" s="298"/>
      <c r="R209" s="298"/>
      <c r="S209" s="298"/>
      <c r="T209" s="298"/>
      <c r="U209" s="298"/>
      <c r="V209" s="298"/>
      <c r="W209" s="298"/>
      <c r="X209" s="629"/>
      <c r="AD209" s="38"/>
      <c r="AE209" s="38"/>
      <c r="AF209" s="38"/>
      <c r="AG209" s="38"/>
      <c r="AH209" s="38"/>
      <c r="AI209" s="38"/>
      <c r="AJ209" s="38"/>
      <c r="AK209" s="38"/>
      <c r="AL209" s="38"/>
      <c r="AM209" s="38"/>
    </row>
    <row r="210" spans="2:39" ht="14.25" hidden="1" customHeight="1" outlineLevel="1" x14ac:dyDescent="0.25">
      <c r="B210" s="1466" t="s">
        <v>575</v>
      </c>
      <c r="C210" s="1467"/>
      <c r="D210" s="1467"/>
      <c r="E210" s="1467"/>
      <c r="F210" s="1467"/>
      <c r="G210" s="1467"/>
      <c r="H210" s="1467"/>
      <c r="I210" s="1474" t="s">
        <v>107</v>
      </c>
      <c r="J210" s="1470"/>
      <c r="K210" s="1352"/>
      <c r="L210" s="1471">
        <f t="shared" ref="L210" si="81">J210*K210</f>
        <v>0</v>
      </c>
      <c r="M210" s="1472" t="str">
        <f>IFERROR(IF((VLOOKUP(N210,Überblick!$M$124:$N$132,2))="ja","ja","nein"),"")</f>
        <v/>
      </c>
      <c r="N210" s="1473"/>
      <c r="O210" s="38">
        <f t="shared" ref="O210:O220" si="82">IF(AND(I210="ja",J210=""),1,0)</f>
        <v>0</v>
      </c>
      <c r="P210" s="44">
        <f t="shared" si="78"/>
        <v>0</v>
      </c>
      <c r="Q210" s="38">
        <f>IF(AND(N210&lt;1,I210="ja"),1,0)</f>
        <v>0</v>
      </c>
      <c r="R210" s="298"/>
      <c r="S210" s="298"/>
      <c r="T210" s="298"/>
      <c r="U210" s="298"/>
      <c r="V210" s="298"/>
      <c r="W210" s="298"/>
      <c r="X210" s="629"/>
      <c r="AD210" s="38"/>
      <c r="AE210" s="38"/>
      <c r="AF210" s="38"/>
      <c r="AG210" s="38"/>
      <c r="AH210" s="38"/>
      <c r="AI210" s="38"/>
      <c r="AJ210" s="38"/>
      <c r="AK210" s="38"/>
      <c r="AL210" s="38"/>
      <c r="AM210" s="38"/>
    </row>
    <row r="211" spans="2:39" ht="14.25" hidden="1" customHeight="1" outlineLevel="1" x14ac:dyDescent="0.25">
      <c r="B211" s="1466"/>
      <c r="C211" s="1467"/>
      <c r="D211" s="1467"/>
      <c r="E211" s="1467"/>
      <c r="F211" s="1467"/>
      <c r="G211" s="1467"/>
      <c r="H211" s="1467"/>
      <c r="I211" s="1475"/>
      <c r="J211" s="1470"/>
      <c r="K211" s="1352"/>
      <c r="L211" s="1471"/>
      <c r="M211" s="1472"/>
      <c r="N211" s="1473"/>
      <c r="O211" s="38"/>
      <c r="P211" s="44"/>
      <c r="Q211" s="38"/>
      <c r="R211" s="298"/>
      <c r="S211" s="298"/>
      <c r="T211" s="298"/>
      <c r="U211" s="298"/>
      <c r="V211" s="298"/>
      <c r="W211" s="298"/>
      <c r="X211" s="629"/>
      <c r="AD211" s="38"/>
      <c r="AE211" s="38"/>
      <c r="AF211" s="38"/>
      <c r="AG211" s="38"/>
      <c r="AH211" s="38"/>
      <c r="AI211" s="38"/>
      <c r="AJ211" s="38"/>
      <c r="AK211" s="38"/>
      <c r="AL211" s="38"/>
      <c r="AM211" s="38"/>
    </row>
    <row r="212" spans="2:39" ht="14.25" hidden="1" customHeight="1" outlineLevel="1" x14ac:dyDescent="0.25">
      <c r="B212" s="1466" t="s">
        <v>576</v>
      </c>
      <c r="C212" s="1467"/>
      <c r="D212" s="1467"/>
      <c r="E212" s="1467"/>
      <c r="F212" s="1467"/>
      <c r="G212" s="1467"/>
      <c r="H212" s="1467"/>
      <c r="I212" s="1474" t="s">
        <v>107</v>
      </c>
      <c r="J212" s="1470"/>
      <c r="K212" s="1352"/>
      <c r="L212" s="1471">
        <f t="shared" ref="L212" si="83">J212*K212</f>
        <v>0</v>
      </c>
      <c r="M212" s="1472" t="str">
        <f>IFERROR(IF((VLOOKUP(N212,Überblick!$M$124:$N$132,2))="ja","ja","nein"),"")</f>
        <v/>
      </c>
      <c r="N212" s="1473"/>
      <c r="O212" s="38">
        <f t="shared" si="82"/>
        <v>0</v>
      </c>
      <c r="P212" s="44">
        <f t="shared" si="78"/>
        <v>0</v>
      </c>
      <c r="Q212" s="38">
        <f>IF(AND(N212&lt;1,I212="ja"),1,0)</f>
        <v>0</v>
      </c>
      <c r="R212" s="298"/>
      <c r="S212" s="298"/>
      <c r="T212" s="298"/>
      <c r="U212" s="298"/>
      <c r="V212" s="298"/>
      <c r="W212" s="298"/>
      <c r="X212" s="629"/>
      <c r="AD212" s="38"/>
      <c r="AE212" s="38"/>
      <c r="AF212" s="38"/>
      <c r="AG212" s="38"/>
      <c r="AH212" s="38"/>
      <c r="AI212" s="38"/>
      <c r="AJ212" s="38"/>
      <c r="AK212" s="38"/>
      <c r="AL212" s="38"/>
      <c r="AM212" s="38"/>
    </row>
    <row r="213" spans="2:39" ht="14.25" hidden="1" customHeight="1" outlineLevel="1" x14ac:dyDescent="0.25">
      <c r="B213" s="1466"/>
      <c r="C213" s="1467"/>
      <c r="D213" s="1467"/>
      <c r="E213" s="1467"/>
      <c r="F213" s="1467"/>
      <c r="G213" s="1467"/>
      <c r="H213" s="1467"/>
      <c r="I213" s="1475"/>
      <c r="J213" s="1470"/>
      <c r="K213" s="1352"/>
      <c r="L213" s="1471"/>
      <c r="M213" s="1472"/>
      <c r="N213" s="1473"/>
      <c r="O213" s="38"/>
      <c r="P213" s="44"/>
      <c r="Q213" s="38"/>
      <c r="R213" s="298"/>
      <c r="S213" s="298"/>
      <c r="T213" s="298"/>
      <c r="U213" s="298"/>
      <c r="V213" s="298"/>
      <c r="W213" s="298"/>
      <c r="X213" s="629"/>
      <c r="AD213" s="38"/>
      <c r="AE213" s="38"/>
      <c r="AF213" s="38"/>
      <c r="AG213" s="38"/>
      <c r="AH213" s="38"/>
      <c r="AI213" s="38"/>
      <c r="AJ213" s="38"/>
      <c r="AK213" s="38"/>
      <c r="AL213" s="38"/>
      <c r="AM213" s="38"/>
    </row>
    <row r="214" spans="2:39" ht="14.25" hidden="1" customHeight="1" outlineLevel="1" x14ac:dyDescent="0.25">
      <c r="B214" s="1466" t="s">
        <v>577</v>
      </c>
      <c r="C214" s="1467"/>
      <c r="D214" s="1467"/>
      <c r="E214" s="1467"/>
      <c r="F214" s="1467"/>
      <c r="G214" s="1467"/>
      <c r="H214" s="1467"/>
      <c r="I214" s="1474" t="s">
        <v>107</v>
      </c>
      <c r="J214" s="1470"/>
      <c r="K214" s="1352"/>
      <c r="L214" s="1471">
        <f t="shared" ref="L214" si="84">J214*K214</f>
        <v>0</v>
      </c>
      <c r="M214" s="1472" t="str">
        <f>IFERROR(IF((VLOOKUP(N214,Überblick!$M$124:$N$132,2))="ja","ja","nein"),"")</f>
        <v/>
      </c>
      <c r="N214" s="1473"/>
      <c r="O214" s="38">
        <f t="shared" si="82"/>
        <v>0</v>
      </c>
      <c r="P214" s="44">
        <f t="shared" si="78"/>
        <v>0</v>
      </c>
      <c r="Q214" s="38">
        <f>IF(AND(N214&lt;1,I214="ja"),1,0)</f>
        <v>0</v>
      </c>
      <c r="R214" s="298"/>
      <c r="S214" s="298"/>
      <c r="T214" s="298"/>
      <c r="U214" s="298"/>
      <c r="V214" s="298"/>
      <c r="W214" s="298"/>
      <c r="X214" s="629"/>
      <c r="AD214" s="38"/>
      <c r="AE214" s="38"/>
      <c r="AF214" s="38"/>
      <c r="AG214" s="38"/>
      <c r="AH214" s="38"/>
      <c r="AI214" s="38"/>
      <c r="AJ214" s="38"/>
      <c r="AK214" s="38"/>
      <c r="AL214" s="38"/>
      <c r="AM214" s="38"/>
    </row>
    <row r="215" spans="2:39" ht="14.25" hidden="1" customHeight="1" outlineLevel="1" x14ac:dyDescent="0.25">
      <c r="B215" s="1466"/>
      <c r="C215" s="1467"/>
      <c r="D215" s="1467"/>
      <c r="E215" s="1467"/>
      <c r="F215" s="1467"/>
      <c r="G215" s="1467"/>
      <c r="H215" s="1467"/>
      <c r="I215" s="1475"/>
      <c r="J215" s="1470"/>
      <c r="K215" s="1352"/>
      <c r="L215" s="1471"/>
      <c r="M215" s="1472"/>
      <c r="N215" s="1473"/>
      <c r="O215" s="38"/>
      <c r="P215" s="44"/>
      <c r="Q215" s="38"/>
      <c r="R215" s="298"/>
      <c r="S215" s="298"/>
      <c r="T215" s="298"/>
      <c r="U215" s="298"/>
      <c r="V215" s="298"/>
      <c r="W215" s="298"/>
      <c r="X215" s="629"/>
      <c r="AD215" s="38"/>
      <c r="AE215" s="38"/>
      <c r="AF215" s="38"/>
      <c r="AG215" s="38"/>
      <c r="AH215" s="38"/>
      <c r="AI215" s="38"/>
      <c r="AJ215" s="38"/>
      <c r="AK215" s="38"/>
      <c r="AL215" s="38"/>
      <c r="AM215" s="38"/>
    </row>
    <row r="216" spans="2:39" ht="14.25" hidden="1" customHeight="1" outlineLevel="1" x14ac:dyDescent="0.25">
      <c r="B216" s="1466" t="s">
        <v>578</v>
      </c>
      <c r="C216" s="1467"/>
      <c r="D216" s="1467"/>
      <c r="E216" s="1467"/>
      <c r="F216" s="1467"/>
      <c r="G216" s="1467"/>
      <c r="H216" s="1467"/>
      <c r="I216" s="1474" t="s">
        <v>107</v>
      </c>
      <c r="J216" s="1470"/>
      <c r="K216" s="1352"/>
      <c r="L216" s="1471">
        <f t="shared" ref="L216" si="85">J216*K216</f>
        <v>0</v>
      </c>
      <c r="M216" s="1472" t="str">
        <f>IFERROR(IF((VLOOKUP(N216,Überblick!$M$124:$N$132,2))="ja","ja","nein"),"")</f>
        <v/>
      </c>
      <c r="N216" s="1473"/>
      <c r="O216" s="38">
        <f t="shared" si="82"/>
        <v>0</v>
      </c>
      <c r="P216" s="44">
        <f t="shared" si="78"/>
        <v>0</v>
      </c>
      <c r="Q216" s="38">
        <f>IF(AND(N216&lt;1,I216="ja"),1,0)</f>
        <v>0</v>
      </c>
      <c r="R216" s="298"/>
      <c r="S216" s="298"/>
      <c r="T216" s="298"/>
      <c r="U216" s="298"/>
      <c r="V216" s="298"/>
      <c r="W216" s="298"/>
      <c r="X216" s="629"/>
      <c r="AD216" s="38"/>
      <c r="AE216" s="38"/>
      <c r="AF216" s="38"/>
      <c r="AG216" s="38"/>
      <c r="AH216" s="38"/>
      <c r="AI216" s="38"/>
      <c r="AJ216" s="38"/>
      <c r="AK216" s="38"/>
      <c r="AL216" s="38"/>
      <c r="AM216" s="38"/>
    </row>
    <row r="217" spans="2:39" ht="14.25" hidden="1" customHeight="1" outlineLevel="1" x14ac:dyDescent="0.25">
      <c r="B217" s="1466"/>
      <c r="C217" s="1467"/>
      <c r="D217" s="1467"/>
      <c r="E217" s="1467"/>
      <c r="F217" s="1467"/>
      <c r="G217" s="1467"/>
      <c r="H217" s="1467"/>
      <c r="I217" s="1475"/>
      <c r="J217" s="1470"/>
      <c r="K217" s="1352"/>
      <c r="L217" s="1471"/>
      <c r="M217" s="1472"/>
      <c r="N217" s="1473"/>
      <c r="O217" s="38"/>
      <c r="P217" s="44"/>
      <c r="Q217" s="298"/>
      <c r="R217" s="298"/>
      <c r="S217" s="298"/>
      <c r="T217" s="298"/>
      <c r="U217" s="298"/>
      <c r="V217" s="298"/>
      <c r="W217" s="298"/>
      <c r="X217" s="629"/>
      <c r="AD217" s="38"/>
      <c r="AE217" s="38"/>
      <c r="AF217" s="38"/>
      <c r="AG217" s="38"/>
      <c r="AH217" s="38"/>
      <c r="AI217" s="38"/>
      <c r="AJ217" s="38"/>
      <c r="AK217" s="38"/>
      <c r="AL217" s="38"/>
      <c r="AM217" s="38"/>
    </row>
    <row r="218" spans="2:39" ht="14.25" hidden="1" customHeight="1" outlineLevel="1" x14ac:dyDescent="0.25">
      <c r="B218" s="1466" t="s">
        <v>579</v>
      </c>
      <c r="C218" s="1467"/>
      <c r="D218" s="1467"/>
      <c r="E218" s="1467"/>
      <c r="F218" s="1467"/>
      <c r="G218" s="1467"/>
      <c r="H218" s="1467"/>
      <c r="I218" s="1474" t="s">
        <v>107</v>
      </c>
      <c r="J218" s="1470"/>
      <c r="K218" s="1352"/>
      <c r="L218" s="1471">
        <f t="shared" ref="L218" si="86">J218*K218</f>
        <v>0</v>
      </c>
      <c r="M218" s="1472" t="str">
        <f>IFERROR(IF((VLOOKUP(N218,Überblick!$M$124:$N$132,2))="ja","ja","nein"),"")</f>
        <v/>
      </c>
      <c r="N218" s="1473"/>
      <c r="O218" s="38">
        <f t="shared" si="82"/>
        <v>0</v>
      </c>
      <c r="P218" s="44">
        <f t="shared" si="78"/>
        <v>0</v>
      </c>
      <c r="Q218" s="38">
        <f>IF(AND(N218&lt;1,I218="ja"),1,0)</f>
        <v>0</v>
      </c>
      <c r="R218" s="298"/>
      <c r="S218" s="298"/>
      <c r="T218" s="298"/>
      <c r="U218" s="298"/>
      <c r="V218" s="298"/>
      <c r="W218" s="298"/>
      <c r="X218" s="629"/>
      <c r="AD218" s="38"/>
      <c r="AE218" s="38"/>
      <c r="AF218" s="38"/>
      <c r="AG218" s="38"/>
      <c r="AH218" s="38"/>
      <c r="AI218" s="38"/>
      <c r="AJ218" s="38"/>
      <c r="AK218" s="38"/>
      <c r="AL218" s="38"/>
      <c r="AM218" s="38"/>
    </row>
    <row r="219" spans="2:39" ht="14.25" hidden="1" customHeight="1" outlineLevel="1" x14ac:dyDescent="0.25">
      <c r="B219" s="1466"/>
      <c r="C219" s="1467"/>
      <c r="D219" s="1467"/>
      <c r="E219" s="1467"/>
      <c r="F219" s="1467"/>
      <c r="G219" s="1467"/>
      <c r="H219" s="1467"/>
      <c r="I219" s="1475"/>
      <c r="J219" s="1470"/>
      <c r="K219" s="1352"/>
      <c r="L219" s="1471"/>
      <c r="M219" s="1472"/>
      <c r="N219" s="1473"/>
      <c r="O219" s="38"/>
      <c r="P219" s="44"/>
      <c r="Q219" s="38"/>
      <c r="R219" s="298"/>
      <c r="S219" s="298"/>
      <c r="T219" s="298"/>
      <c r="U219" s="298"/>
      <c r="V219" s="298"/>
      <c r="W219" s="298"/>
      <c r="X219" s="629"/>
      <c r="AD219" s="38"/>
      <c r="AE219" s="38"/>
      <c r="AF219" s="38"/>
      <c r="AG219" s="38"/>
      <c r="AH219" s="38"/>
      <c r="AI219" s="38"/>
      <c r="AJ219" s="38"/>
      <c r="AK219" s="38"/>
      <c r="AL219" s="38"/>
      <c r="AM219" s="38"/>
    </row>
    <row r="220" spans="2:39" ht="14.25" hidden="1" customHeight="1" outlineLevel="1" x14ac:dyDescent="0.25">
      <c r="B220" s="1466" t="s">
        <v>580</v>
      </c>
      <c r="C220" s="1467"/>
      <c r="D220" s="1467"/>
      <c r="E220" s="1467"/>
      <c r="F220" s="1467"/>
      <c r="G220" s="1467"/>
      <c r="H220" s="1467"/>
      <c r="I220" s="1468" t="s">
        <v>107</v>
      </c>
      <c r="J220" s="1470"/>
      <c r="K220" s="1352"/>
      <c r="L220" s="1471">
        <f t="shared" ref="L220" si="87">J220*K220</f>
        <v>0</v>
      </c>
      <c r="M220" s="1526" t="str">
        <f>IFERROR(IF((VLOOKUP(N220,Überblick!$M$124:$N$132,2))="ja","ja","nein"),"")</f>
        <v/>
      </c>
      <c r="N220" s="1473"/>
      <c r="O220" s="38">
        <f t="shared" si="82"/>
        <v>0</v>
      </c>
      <c r="P220" s="44">
        <f t="shared" si="78"/>
        <v>0</v>
      </c>
      <c r="Q220" s="38">
        <f>IF(AND(N220&lt;1,I220="ja"),1,0)</f>
        <v>0</v>
      </c>
      <c r="R220" s="298"/>
      <c r="S220" s="298"/>
      <c r="T220" s="298"/>
      <c r="U220" s="298"/>
      <c r="V220" s="298"/>
      <c r="W220" s="298"/>
      <c r="X220" s="629"/>
      <c r="AD220" s="38"/>
      <c r="AE220" s="38"/>
      <c r="AF220" s="38"/>
      <c r="AG220" s="38"/>
      <c r="AH220" s="38"/>
      <c r="AI220" s="38"/>
      <c r="AJ220" s="38"/>
      <c r="AK220" s="38"/>
      <c r="AL220" s="38"/>
      <c r="AM220" s="38"/>
    </row>
    <row r="221" spans="2:39" ht="14.25" hidden="1" customHeight="1" outlineLevel="1" x14ac:dyDescent="0.25">
      <c r="B221" s="1466"/>
      <c r="C221" s="1467"/>
      <c r="D221" s="1467"/>
      <c r="E221" s="1467"/>
      <c r="F221" s="1467"/>
      <c r="G221" s="1467"/>
      <c r="H221" s="1467"/>
      <c r="I221" s="1468"/>
      <c r="J221" s="1470"/>
      <c r="K221" s="1352"/>
      <c r="L221" s="1471"/>
      <c r="M221" s="1526"/>
      <c r="N221" s="1473"/>
      <c r="O221" s="38"/>
      <c r="P221" s="44"/>
      <c r="Q221" s="38"/>
      <c r="R221" s="298"/>
      <c r="S221" s="298"/>
      <c r="T221" s="298"/>
      <c r="U221" s="298"/>
      <c r="V221" s="298"/>
      <c r="W221" s="298"/>
      <c r="X221" s="629"/>
      <c r="AD221" s="38"/>
      <c r="AE221" s="38"/>
      <c r="AF221" s="38"/>
      <c r="AG221" s="38"/>
      <c r="AH221" s="38"/>
      <c r="AI221" s="38"/>
      <c r="AJ221" s="38"/>
      <c r="AK221" s="38"/>
      <c r="AL221" s="38"/>
      <c r="AM221" s="38"/>
    </row>
    <row r="222" spans="2:39" ht="14.25" hidden="1" customHeight="1" outlineLevel="1" x14ac:dyDescent="0.25">
      <c r="B222" s="1466"/>
      <c r="C222" s="1467"/>
      <c r="D222" s="1467"/>
      <c r="E222" s="1467"/>
      <c r="F222" s="1467"/>
      <c r="G222" s="1467"/>
      <c r="H222" s="1467"/>
      <c r="I222" s="1468"/>
      <c r="J222" s="1470"/>
      <c r="K222" s="1352"/>
      <c r="L222" s="1471"/>
      <c r="M222" s="1507"/>
      <c r="N222" s="1473"/>
      <c r="O222" s="38"/>
      <c r="P222" s="44"/>
      <c r="Q222" s="38"/>
      <c r="R222" s="298"/>
      <c r="S222" s="298"/>
      <c r="T222" s="298"/>
      <c r="U222" s="298"/>
      <c r="V222" s="298"/>
      <c r="W222" s="298"/>
      <c r="X222" s="629"/>
      <c r="AD222" s="38"/>
      <c r="AE222" s="38"/>
      <c r="AF222" s="38"/>
      <c r="AG222" s="38"/>
      <c r="AH222" s="38"/>
      <c r="AI222" s="38"/>
      <c r="AJ222" s="38"/>
      <c r="AK222" s="38"/>
      <c r="AL222" s="38"/>
      <c r="AM222" s="38"/>
    </row>
    <row r="223" spans="2:39" ht="14.25" hidden="1" customHeight="1" outlineLevel="1" x14ac:dyDescent="0.25">
      <c r="B223" s="1466" t="s">
        <v>581</v>
      </c>
      <c r="C223" s="1467"/>
      <c r="D223" s="1467"/>
      <c r="E223" s="1467"/>
      <c r="F223" s="1467"/>
      <c r="G223" s="1467"/>
      <c r="H223" s="1467"/>
      <c r="I223" s="1474" t="s">
        <v>107</v>
      </c>
      <c r="J223" s="1470"/>
      <c r="K223" s="1352"/>
      <c r="L223" s="1471">
        <f t="shared" ref="L223" si="88">J223*K223</f>
        <v>0</v>
      </c>
      <c r="M223" s="1472" t="str">
        <f>IFERROR(IF((VLOOKUP(N223,Überblick!$M$124:$N$132,2))="ja","ja","nein"),"")</f>
        <v/>
      </c>
      <c r="N223" s="1473"/>
      <c r="O223" s="38">
        <f t="shared" ref="O223:O233" si="89">IF(AND(I223="ja",J223=""),1,0)</f>
        <v>0</v>
      </c>
      <c r="P223" s="44">
        <f t="shared" si="78"/>
        <v>0</v>
      </c>
      <c r="Q223" s="38">
        <f>IF(AND(N223&lt;1,I223="ja"),1,0)</f>
        <v>0</v>
      </c>
      <c r="R223" s="298"/>
      <c r="S223" s="298"/>
      <c r="T223" s="298"/>
      <c r="U223" s="298"/>
      <c r="V223" s="298"/>
      <c r="W223" s="298"/>
      <c r="X223" s="629"/>
      <c r="AD223" s="38"/>
      <c r="AE223" s="38"/>
      <c r="AF223" s="38"/>
      <c r="AG223" s="38"/>
      <c r="AH223" s="38"/>
      <c r="AI223" s="38"/>
      <c r="AJ223" s="38"/>
      <c r="AK223" s="38"/>
      <c r="AL223" s="38"/>
      <c r="AM223" s="38"/>
    </row>
    <row r="224" spans="2:39" ht="14.25" hidden="1" customHeight="1" outlineLevel="1" x14ac:dyDescent="0.25">
      <c r="B224" s="1466"/>
      <c r="C224" s="1467"/>
      <c r="D224" s="1467"/>
      <c r="E224" s="1467"/>
      <c r="F224" s="1467"/>
      <c r="G224" s="1467"/>
      <c r="H224" s="1467"/>
      <c r="I224" s="1475"/>
      <c r="J224" s="1470"/>
      <c r="K224" s="1352"/>
      <c r="L224" s="1471"/>
      <c r="M224" s="1472"/>
      <c r="N224" s="1473"/>
      <c r="O224" s="38"/>
      <c r="P224" s="44"/>
      <c r="Q224" s="38"/>
      <c r="R224" s="298"/>
      <c r="S224" s="298"/>
      <c r="T224" s="298"/>
      <c r="U224" s="298"/>
      <c r="V224" s="298"/>
      <c r="W224" s="298"/>
      <c r="X224" s="629"/>
      <c r="AD224" s="38"/>
      <c r="AE224" s="38"/>
      <c r="AF224" s="38"/>
      <c r="AG224" s="38"/>
      <c r="AH224" s="38"/>
      <c r="AI224" s="38"/>
      <c r="AJ224" s="38"/>
      <c r="AK224" s="38"/>
      <c r="AL224" s="38"/>
      <c r="AM224" s="38"/>
    </row>
    <row r="225" spans="2:39" ht="14.25" hidden="1" customHeight="1" outlineLevel="1" x14ac:dyDescent="0.25">
      <c r="B225" s="1466" t="s">
        <v>582</v>
      </c>
      <c r="C225" s="1467"/>
      <c r="D225" s="1467"/>
      <c r="E225" s="1467"/>
      <c r="F225" s="1467"/>
      <c r="G225" s="1467"/>
      <c r="H225" s="1467"/>
      <c r="I225" s="1474" t="s">
        <v>107</v>
      </c>
      <c r="J225" s="1470"/>
      <c r="K225" s="1352"/>
      <c r="L225" s="1471">
        <f t="shared" ref="L225" si="90">J225*K225</f>
        <v>0</v>
      </c>
      <c r="M225" s="1472" t="str">
        <f>IFERROR(IF((VLOOKUP(N225,Überblick!$M$124:$N$132,2))="ja","ja","nein"),"")</f>
        <v/>
      </c>
      <c r="N225" s="1473"/>
      <c r="O225" s="38">
        <f t="shared" si="89"/>
        <v>0</v>
      </c>
      <c r="P225" s="44">
        <f t="shared" si="78"/>
        <v>0</v>
      </c>
      <c r="Q225" s="38">
        <f>IF(AND(N225&lt;1,I225="ja"),1,0)</f>
        <v>0</v>
      </c>
      <c r="R225" s="298"/>
      <c r="S225" s="298"/>
      <c r="T225" s="298"/>
      <c r="U225" s="298"/>
      <c r="V225" s="298"/>
      <c r="W225" s="298"/>
      <c r="X225" s="629"/>
      <c r="AD225" s="38"/>
      <c r="AE225" s="38"/>
      <c r="AF225" s="38"/>
      <c r="AG225" s="38"/>
      <c r="AH225" s="38"/>
      <c r="AI225" s="38"/>
      <c r="AJ225" s="38"/>
      <c r="AK225" s="38"/>
      <c r="AL225" s="38"/>
      <c r="AM225" s="38"/>
    </row>
    <row r="226" spans="2:39" ht="14.25" hidden="1" customHeight="1" outlineLevel="1" x14ac:dyDescent="0.25">
      <c r="B226" s="1466"/>
      <c r="C226" s="1467"/>
      <c r="D226" s="1467"/>
      <c r="E226" s="1467"/>
      <c r="F226" s="1467"/>
      <c r="G226" s="1467"/>
      <c r="H226" s="1467"/>
      <c r="I226" s="1475"/>
      <c r="J226" s="1470"/>
      <c r="K226" s="1352"/>
      <c r="L226" s="1471"/>
      <c r="M226" s="1472"/>
      <c r="N226" s="1473"/>
      <c r="O226" s="38"/>
      <c r="P226" s="44"/>
      <c r="Q226" s="298"/>
      <c r="R226" s="298"/>
      <c r="S226" s="298"/>
      <c r="T226" s="298"/>
      <c r="U226" s="298"/>
      <c r="V226" s="298"/>
      <c r="W226" s="298"/>
      <c r="X226" s="629"/>
      <c r="AD226" s="38"/>
      <c r="AE226" s="38"/>
      <c r="AF226" s="38"/>
      <c r="AG226" s="38"/>
      <c r="AH226" s="38"/>
      <c r="AI226" s="38"/>
      <c r="AJ226" s="38"/>
      <c r="AK226" s="38"/>
      <c r="AL226" s="38"/>
      <c r="AM226" s="38"/>
    </row>
    <row r="227" spans="2:39" ht="14.25" hidden="1" customHeight="1" outlineLevel="1" x14ac:dyDescent="0.25">
      <c r="B227" s="1466" t="s">
        <v>583</v>
      </c>
      <c r="C227" s="1467"/>
      <c r="D227" s="1467"/>
      <c r="E227" s="1467"/>
      <c r="F227" s="1467"/>
      <c r="G227" s="1467"/>
      <c r="H227" s="1467"/>
      <c r="I227" s="1474" t="s">
        <v>107</v>
      </c>
      <c r="J227" s="1470"/>
      <c r="K227" s="1352"/>
      <c r="L227" s="1471">
        <f t="shared" ref="L227" si="91">J227*K227</f>
        <v>0</v>
      </c>
      <c r="M227" s="1472" t="str">
        <f>IFERROR(IF((VLOOKUP(N227,Überblick!$M$124:$N$132,2))="ja","ja","nein"),"")</f>
        <v/>
      </c>
      <c r="N227" s="1473"/>
      <c r="O227" s="38">
        <f t="shared" si="89"/>
        <v>0</v>
      </c>
      <c r="P227" s="44">
        <f t="shared" si="78"/>
        <v>0</v>
      </c>
      <c r="Q227" s="38">
        <f>IF(AND(N227&lt;1,I227="ja"),1,0)</f>
        <v>0</v>
      </c>
      <c r="R227" s="298"/>
      <c r="S227" s="298"/>
      <c r="T227" s="298"/>
      <c r="U227" s="298"/>
      <c r="V227" s="298"/>
      <c r="W227" s="298"/>
      <c r="X227" s="629"/>
      <c r="AD227" s="38"/>
      <c r="AE227" s="38"/>
      <c r="AF227" s="38"/>
      <c r="AG227" s="38"/>
      <c r="AH227" s="38"/>
      <c r="AI227" s="38"/>
      <c r="AJ227" s="38"/>
      <c r="AK227" s="38"/>
      <c r="AL227" s="38"/>
      <c r="AM227" s="38"/>
    </row>
    <row r="228" spans="2:39" ht="14.25" hidden="1" customHeight="1" outlineLevel="1" x14ac:dyDescent="0.25">
      <c r="B228" s="1466"/>
      <c r="C228" s="1467"/>
      <c r="D228" s="1467"/>
      <c r="E228" s="1467"/>
      <c r="F228" s="1467"/>
      <c r="G228" s="1467"/>
      <c r="H228" s="1467"/>
      <c r="I228" s="1475"/>
      <c r="J228" s="1470"/>
      <c r="K228" s="1352"/>
      <c r="L228" s="1471"/>
      <c r="M228" s="1472"/>
      <c r="N228" s="1473"/>
      <c r="O228" s="38"/>
      <c r="P228" s="44"/>
      <c r="Q228" s="38"/>
      <c r="R228" s="298"/>
      <c r="S228" s="298"/>
      <c r="T228" s="298"/>
      <c r="U228" s="298"/>
      <c r="V228" s="298"/>
      <c r="W228" s="298"/>
      <c r="X228" s="629"/>
      <c r="AD228" s="38"/>
      <c r="AE228" s="38"/>
      <c r="AF228" s="38"/>
      <c r="AG228" s="38"/>
      <c r="AH228" s="38"/>
      <c r="AI228" s="38"/>
      <c r="AJ228" s="38"/>
      <c r="AK228" s="38"/>
      <c r="AL228" s="38"/>
      <c r="AM228" s="38"/>
    </row>
    <row r="229" spans="2:39" ht="14.25" hidden="1" customHeight="1" outlineLevel="1" x14ac:dyDescent="0.25">
      <c r="B229" s="1466" t="s">
        <v>584</v>
      </c>
      <c r="C229" s="1467"/>
      <c r="D229" s="1467"/>
      <c r="E229" s="1467"/>
      <c r="F229" s="1467"/>
      <c r="G229" s="1467"/>
      <c r="H229" s="1467"/>
      <c r="I229" s="1474" t="s">
        <v>107</v>
      </c>
      <c r="J229" s="1470"/>
      <c r="K229" s="1352"/>
      <c r="L229" s="1471">
        <f t="shared" ref="L229" si="92">J229*K229</f>
        <v>0</v>
      </c>
      <c r="M229" s="1472" t="str">
        <f>IFERROR(IF((VLOOKUP(N229,Überblick!$M$124:$N$132,2))="ja","ja","nein"),"")</f>
        <v/>
      </c>
      <c r="N229" s="1473"/>
      <c r="O229" s="38">
        <f t="shared" si="89"/>
        <v>0</v>
      </c>
      <c r="P229" s="44">
        <f t="shared" si="78"/>
        <v>0</v>
      </c>
      <c r="Q229" s="38">
        <f>IF(AND(N229&lt;1,I229="ja"),1,0)</f>
        <v>0</v>
      </c>
      <c r="R229" s="298"/>
      <c r="S229" s="298"/>
      <c r="T229" s="298"/>
      <c r="U229" s="298"/>
      <c r="V229" s="298"/>
      <c r="W229" s="298"/>
      <c r="X229" s="629"/>
      <c r="AD229" s="38"/>
      <c r="AE229" s="38"/>
      <c r="AF229" s="38"/>
      <c r="AG229" s="38"/>
      <c r="AH229" s="38"/>
      <c r="AI229" s="38"/>
      <c r="AJ229" s="38"/>
      <c r="AK229" s="38"/>
      <c r="AL229" s="38"/>
      <c r="AM229" s="38"/>
    </row>
    <row r="230" spans="2:39" ht="14.25" hidden="1" customHeight="1" outlineLevel="1" x14ac:dyDescent="0.25">
      <c r="B230" s="1511"/>
      <c r="C230" s="1512"/>
      <c r="D230" s="1512"/>
      <c r="E230" s="1512"/>
      <c r="F230" s="1512"/>
      <c r="G230" s="1512"/>
      <c r="H230" s="1512"/>
      <c r="I230" s="1475"/>
      <c r="J230" s="1513"/>
      <c r="K230" s="1365"/>
      <c r="L230" s="1514"/>
      <c r="M230" s="1472"/>
      <c r="N230" s="1515"/>
      <c r="O230" s="38"/>
      <c r="P230" s="44"/>
      <c r="Q230" s="38"/>
      <c r="R230" s="298"/>
      <c r="S230" s="298"/>
      <c r="T230" s="298"/>
      <c r="U230" s="298"/>
      <c r="V230" s="298"/>
      <c r="W230" s="298"/>
      <c r="X230" s="629"/>
      <c r="AD230" s="38"/>
      <c r="AE230" s="38"/>
      <c r="AF230" s="38"/>
      <c r="AG230" s="38"/>
      <c r="AH230" s="38"/>
      <c r="AI230" s="38"/>
      <c r="AJ230" s="38"/>
      <c r="AK230" s="38"/>
      <c r="AL230" s="38"/>
      <c r="AM230" s="38"/>
    </row>
    <row r="231" spans="2:39" ht="14.25" hidden="1" customHeight="1" outlineLevel="1" x14ac:dyDescent="0.25">
      <c r="B231" s="1466" t="s">
        <v>585</v>
      </c>
      <c r="C231" s="1467"/>
      <c r="D231" s="1467"/>
      <c r="E231" s="1467"/>
      <c r="F231" s="1467"/>
      <c r="G231" s="1467"/>
      <c r="H231" s="1467"/>
      <c r="I231" s="1474" t="s">
        <v>107</v>
      </c>
      <c r="J231" s="1470"/>
      <c r="K231" s="1352"/>
      <c r="L231" s="1471">
        <f t="shared" ref="L231" si="93">J231*K231</f>
        <v>0</v>
      </c>
      <c r="M231" s="1472" t="str">
        <f>IFERROR(IF((VLOOKUP(N231,Überblick!$M$124:$N$132,2))="ja","ja","nein"),"")</f>
        <v/>
      </c>
      <c r="N231" s="1473"/>
      <c r="O231" s="38">
        <f t="shared" si="89"/>
        <v>0</v>
      </c>
      <c r="P231" s="44">
        <f t="shared" si="78"/>
        <v>0</v>
      </c>
      <c r="Q231" s="38">
        <f>IF(AND(N231&lt;1,I231="ja"),1,0)</f>
        <v>0</v>
      </c>
      <c r="R231" s="298"/>
      <c r="S231" s="298"/>
      <c r="T231" s="298"/>
      <c r="U231" s="298"/>
      <c r="V231" s="298"/>
      <c r="W231" s="298"/>
      <c r="X231" s="629"/>
      <c r="AD231" s="38"/>
      <c r="AE231" s="38"/>
      <c r="AF231" s="38"/>
      <c r="AG231" s="38"/>
      <c r="AH231" s="38"/>
      <c r="AI231" s="38"/>
      <c r="AJ231" s="38"/>
      <c r="AK231" s="38"/>
      <c r="AL231" s="38"/>
      <c r="AM231" s="38"/>
    </row>
    <row r="232" spans="2:39" ht="14.25" hidden="1" customHeight="1" outlineLevel="1" x14ac:dyDescent="0.25">
      <c r="B232" s="1466"/>
      <c r="C232" s="1467"/>
      <c r="D232" s="1467"/>
      <c r="E232" s="1467"/>
      <c r="F232" s="1467"/>
      <c r="G232" s="1467"/>
      <c r="H232" s="1467"/>
      <c r="I232" s="1475"/>
      <c r="J232" s="1470"/>
      <c r="K232" s="1352"/>
      <c r="L232" s="1471"/>
      <c r="M232" s="1472"/>
      <c r="N232" s="1473"/>
      <c r="O232" s="38"/>
      <c r="P232" s="44"/>
      <c r="Q232" s="38"/>
      <c r="R232" s="298"/>
      <c r="S232" s="298"/>
      <c r="T232" s="298"/>
      <c r="U232" s="298"/>
      <c r="V232" s="298"/>
      <c r="W232" s="298"/>
      <c r="X232" s="629"/>
      <c r="AD232" s="38"/>
      <c r="AE232" s="38"/>
      <c r="AF232" s="38"/>
      <c r="AG232" s="38"/>
      <c r="AH232" s="38"/>
      <c r="AI232" s="38"/>
      <c r="AJ232" s="38"/>
      <c r="AK232" s="38"/>
      <c r="AL232" s="38"/>
      <c r="AM232" s="38"/>
    </row>
    <row r="233" spans="2:39" ht="14.25" hidden="1" customHeight="1" outlineLevel="1" x14ac:dyDescent="0.25">
      <c r="B233" s="1466" t="s">
        <v>586</v>
      </c>
      <c r="C233" s="1467"/>
      <c r="D233" s="1467"/>
      <c r="E233" s="1467"/>
      <c r="F233" s="1467"/>
      <c r="G233" s="1467"/>
      <c r="H233" s="1467"/>
      <c r="I233" s="1468" t="s">
        <v>107</v>
      </c>
      <c r="J233" s="1470"/>
      <c r="K233" s="1352"/>
      <c r="L233" s="1471">
        <f t="shared" ref="L233" si="94">J233*K233</f>
        <v>0</v>
      </c>
      <c r="M233" s="1472" t="str">
        <f>IFERROR(IF((VLOOKUP(N233,Überblick!$M$124:$N$132,2))="ja","ja","nein"),"")</f>
        <v/>
      </c>
      <c r="N233" s="1473"/>
      <c r="O233" s="38">
        <f t="shared" si="89"/>
        <v>0</v>
      </c>
      <c r="P233" s="44">
        <f t="shared" si="78"/>
        <v>0</v>
      </c>
      <c r="Q233" s="38">
        <f>IF(AND(N233&lt;1,I233="ja"),1,0)</f>
        <v>0</v>
      </c>
      <c r="R233" s="298"/>
      <c r="S233" s="298"/>
      <c r="T233" s="298"/>
      <c r="U233" s="298"/>
      <c r="V233" s="298"/>
      <c r="W233" s="298"/>
      <c r="X233" s="629"/>
      <c r="AD233" s="38"/>
      <c r="AE233" s="38"/>
      <c r="AF233" s="38"/>
      <c r="AG233" s="38"/>
      <c r="AH233" s="38"/>
      <c r="AI233" s="38"/>
      <c r="AJ233" s="38"/>
      <c r="AK233" s="38"/>
      <c r="AL233" s="38"/>
      <c r="AM233" s="38"/>
    </row>
    <row r="234" spans="2:39" ht="14.25" hidden="1" customHeight="1" outlineLevel="1" x14ac:dyDescent="0.25">
      <c r="B234" s="1466"/>
      <c r="C234" s="1467"/>
      <c r="D234" s="1467"/>
      <c r="E234" s="1467"/>
      <c r="F234" s="1467"/>
      <c r="G234" s="1467"/>
      <c r="H234" s="1467"/>
      <c r="I234" s="1468"/>
      <c r="J234" s="1470"/>
      <c r="K234" s="1352"/>
      <c r="L234" s="1471"/>
      <c r="M234" s="1472"/>
      <c r="N234" s="1473"/>
      <c r="O234" s="38"/>
      <c r="P234" s="44"/>
      <c r="Q234" s="298"/>
      <c r="R234" s="298"/>
      <c r="S234" s="298"/>
      <c r="T234" s="298"/>
      <c r="U234" s="298"/>
      <c r="V234" s="298"/>
      <c r="W234" s="298"/>
      <c r="X234" s="629"/>
      <c r="AD234" s="38"/>
      <c r="AE234" s="38"/>
      <c r="AF234" s="38"/>
      <c r="AG234" s="38"/>
      <c r="AH234" s="38"/>
      <c r="AI234" s="38"/>
      <c r="AJ234" s="38"/>
      <c r="AK234" s="38"/>
      <c r="AL234" s="38"/>
      <c r="AM234" s="38"/>
    </row>
    <row r="235" spans="2:39" ht="14.25" hidden="1" customHeight="1" outlineLevel="1" x14ac:dyDescent="0.25">
      <c r="B235" s="1466"/>
      <c r="C235" s="1467"/>
      <c r="D235" s="1467"/>
      <c r="E235" s="1467"/>
      <c r="F235" s="1467"/>
      <c r="G235" s="1467"/>
      <c r="H235" s="1467"/>
      <c r="I235" s="1468"/>
      <c r="J235" s="1470"/>
      <c r="K235" s="1352"/>
      <c r="L235" s="1471"/>
      <c r="M235" s="1472"/>
      <c r="N235" s="1473"/>
      <c r="O235" s="38"/>
      <c r="P235" s="44"/>
      <c r="Q235" s="298"/>
      <c r="R235" s="298"/>
      <c r="S235" s="298"/>
      <c r="T235" s="298"/>
      <c r="U235" s="298"/>
      <c r="V235" s="298"/>
      <c r="W235" s="298"/>
      <c r="X235" s="629"/>
      <c r="AD235" s="38"/>
      <c r="AE235" s="38"/>
      <c r="AF235" s="38"/>
      <c r="AG235" s="38"/>
      <c r="AH235" s="38"/>
      <c r="AI235" s="38"/>
      <c r="AJ235" s="38"/>
      <c r="AK235" s="38"/>
      <c r="AL235" s="38"/>
      <c r="AM235" s="38"/>
    </row>
    <row r="236" spans="2:39" ht="14.25" hidden="1" customHeight="1" outlineLevel="1" x14ac:dyDescent="0.25">
      <c r="B236" s="1466"/>
      <c r="C236" s="1467"/>
      <c r="D236" s="1467"/>
      <c r="E236" s="1467"/>
      <c r="F236" s="1467"/>
      <c r="G236" s="1467"/>
      <c r="H236" s="1467"/>
      <c r="I236" s="1468"/>
      <c r="J236" s="1470"/>
      <c r="K236" s="1352"/>
      <c r="L236" s="1471"/>
      <c r="M236" s="1472"/>
      <c r="N236" s="1473"/>
      <c r="O236" s="38"/>
      <c r="P236" s="44"/>
      <c r="Q236" s="298"/>
      <c r="R236" s="298"/>
      <c r="S236" s="298"/>
      <c r="T236" s="298"/>
      <c r="U236" s="298"/>
      <c r="V236" s="298"/>
      <c r="W236" s="298"/>
      <c r="X236" s="629"/>
      <c r="AD236" s="38"/>
      <c r="AE236" s="38"/>
      <c r="AF236" s="38"/>
      <c r="AG236" s="38"/>
      <c r="AH236" s="38"/>
      <c r="AI236" s="38"/>
      <c r="AJ236" s="38"/>
      <c r="AK236" s="38"/>
      <c r="AL236" s="38"/>
      <c r="AM236" s="38"/>
    </row>
    <row r="237" spans="2:39" ht="14.25" hidden="1" customHeight="1" outlineLevel="1" x14ac:dyDescent="0.25">
      <c r="B237" s="1466"/>
      <c r="C237" s="1467"/>
      <c r="D237" s="1467"/>
      <c r="E237" s="1467"/>
      <c r="F237" s="1467"/>
      <c r="G237" s="1467"/>
      <c r="H237" s="1467"/>
      <c r="I237" s="1468"/>
      <c r="J237" s="1470"/>
      <c r="K237" s="1352"/>
      <c r="L237" s="1471"/>
      <c r="M237" s="1472"/>
      <c r="N237" s="1473"/>
      <c r="O237" s="38"/>
      <c r="P237" s="44"/>
      <c r="Q237" s="298"/>
      <c r="R237" s="298"/>
      <c r="S237" s="298"/>
      <c r="T237" s="298"/>
      <c r="U237" s="298"/>
      <c r="V237" s="298"/>
      <c r="W237" s="298"/>
      <c r="X237" s="629"/>
      <c r="AD237" s="38"/>
      <c r="AE237" s="38"/>
      <c r="AF237" s="38"/>
      <c r="AG237" s="38"/>
      <c r="AH237" s="38"/>
      <c r="AI237" s="38"/>
      <c r="AJ237" s="38"/>
      <c r="AK237" s="38"/>
      <c r="AL237" s="38"/>
      <c r="AM237" s="38"/>
    </row>
    <row r="238" spans="2:39" ht="14.25" hidden="1" customHeight="1" outlineLevel="1" x14ac:dyDescent="0.25">
      <c r="B238" s="1466"/>
      <c r="C238" s="1467"/>
      <c r="D238" s="1467"/>
      <c r="E238" s="1467"/>
      <c r="F238" s="1467"/>
      <c r="G238" s="1467"/>
      <c r="H238" s="1467"/>
      <c r="I238" s="1468"/>
      <c r="J238" s="1470"/>
      <c r="K238" s="1352"/>
      <c r="L238" s="1471"/>
      <c r="M238" s="1472"/>
      <c r="N238" s="1473"/>
      <c r="O238" s="38"/>
      <c r="P238" s="44"/>
      <c r="Q238" s="298"/>
      <c r="R238" s="298"/>
      <c r="S238" s="298"/>
      <c r="T238" s="298"/>
      <c r="U238" s="298"/>
      <c r="V238" s="298"/>
      <c r="W238" s="298"/>
      <c r="X238" s="629"/>
      <c r="AD238" s="38"/>
      <c r="AE238" s="38"/>
      <c r="AF238" s="38"/>
      <c r="AG238" s="38"/>
      <c r="AH238" s="38"/>
      <c r="AI238" s="38"/>
      <c r="AJ238" s="38"/>
      <c r="AK238" s="38"/>
      <c r="AL238" s="38"/>
      <c r="AM238" s="38"/>
    </row>
    <row r="239" spans="2:39" ht="14.25" hidden="1" customHeight="1" outlineLevel="1" x14ac:dyDescent="0.25">
      <c r="B239" s="1466"/>
      <c r="C239" s="1467"/>
      <c r="D239" s="1467"/>
      <c r="E239" s="1467"/>
      <c r="F239" s="1467"/>
      <c r="G239" s="1467"/>
      <c r="H239" s="1467"/>
      <c r="I239" s="1468"/>
      <c r="J239" s="1470"/>
      <c r="K239" s="1352"/>
      <c r="L239" s="1471"/>
      <c r="M239" s="1472"/>
      <c r="N239" s="1473"/>
      <c r="O239" s="38"/>
      <c r="P239" s="44"/>
      <c r="Q239" s="298"/>
      <c r="R239" s="298"/>
      <c r="S239" s="298"/>
      <c r="T239" s="298"/>
      <c r="U239" s="298"/>
      <c r="V239" s="298"/>
      <c r="W239" s="298"/>
      <c r="X239" s="629"/>
      <c r="AD239" s="38"/>
      <c r="AE239" s="38"/>
      <c r="AF239" s="38"/>
      <c r="AG239" s="38"/>
      <c r="AH239" s="38"/>
      <c r="AI239" s="38"/>
      <c r="AJ239" s="38"/>
      <c r="AK239" s="38"/>
      <c r="AL239" s="38"/>
      <c r="AM239" s="38"/>
    </row>
    <row r="240" spans="2:39" ht="14.25" hidden="1" customHeight="1" outlineLevel="1" x14ac:dyDescent="0.25">
      <c r="B240" s="1466" t="s">
        <v>587</v>
      </c>
      <c r="C240" s="1467"/>
      <c r="D240" s="1467"/>
      <c r="E240" s="1467"/>
      <c r="F240" s="1467"/>
      <c r="G240" s="1467"/>
      <c r="H240" s="1467"/>
      <c r="I240" s="1474" t="s">
        <v>107</v>
      </c>
      <c r="J240" s="1470"/>
      <c r="K240" s="1352"/>
      <c r="L240" s="1471">
        <f t="shared" ref="L240" si="95">J240*K240</f>
        <v>0</v>
      </c>
      <c r="M240" s="1472" t="str">
        <f>IFERROR(IF((VLOOKUP(N240,Überblick!$M$124:$N$132,2))="ja","ja","nein"),"")</f>
        <v/>
      </c>
      <c r="N240" s="1473"/>
      <c r="O240" s="38">
        <f t="shared" ref="O240:O246" si="96">IF(AND(I240="ja",J240=""),1,0)</f>
        <v>0</v>
      </c>
      <c r="P240" s="44">
        <f t="shared" si="78"/>
        <v>0</v>
      </c>
      <c r="Q240" s="38">
        <f>IF(AND(N240&lt;1,I240="ja"),1,0)</f>
        <v>0</v>
      </c>
      <c r="R240" s="298"/>
      <c r="S240" s="298"/>
      <c r="T240" s="298"/>
      <c r="U240" s="298"/>
      <c r="V240" s="298"/>
      <c r="W240" s="298"/>
      <c r="X240" s="629"/>
      <c r="AD240" s="38"/>
      <c r="AE240" s="38"/>
      <c r="AF240" s="38"/>
      <c r="AG240" s="38"/>
      <c r="AH240" s="38"/>
      <c r="AI240" s="38"/>
      <c r="AJ240" s="38"/>
      <c r="AK240" s="38"/>
      <c r="AL240" s="38"/>
      <c r="AM240" s="38"/>
    </row>
    <row r="241" spans="2:39" ht="14.25" hidden="1" customHeight="1" outlineLevel="1" x14ac:dyDescent="0.25">
      <c r="B241" s="1466"/>
      <c r="C241" s="1467"/>
      <c r="D241" s="1467"/>
      <c r="E241" s="1467"/>
      <c r="F241" s="1467"/>
      <c r="G241" s="1467"/>
      <c r="H241" s="1467"/>
      <c r="I241" s="1475"/>
      <c r="J241" s="1470"/>
      <c r="K241" s="1352"/>
      <c r="L241" s="1471"/>
      <c r="M241" s="1472"/>
      <c r="N241" s="1473"/>
      <c r="O241" s="38"/>
      <c r="P241" s="44"/>
      <c r="Q241" s="38"/>
      <c r="R241" s="298"/>
      <c r="S241" s="298"/>
      <c r="T241" s="298"/>
      <c r="U241" s="298"/>
      <c r="V241" s="298"/>
      <c r="W241" s="298"/>
      <c r="X241" s="629"/>
      <c r="AD241" s="38"/>
      <c r="AE241" s="38"/>
      <c r="AF241" s="38"/>
      <c r="AG241" s="38"/>
      <c r="AH241" s="38"/>
      <c r="AI241" s="38"/>
      <c r="AJ241" s="38"/>
      <c r="AK241" s="38"/>
      <c r="AL241" s="38"/>
      <c r="AM241" s="38"/>
    </row>
    <row r="242" spans="2:39" ht="14.25" hidden="1" customHeight="1" outlineLevel="1" x14ac:dyDescent="0.25">
      <c r="B242" s="1466" t="s">
        <v>588</v>
      </c>
      <c r="C242" s="1467"/>
      <c r="D242" s="1467"/>
      <c r="E242" s="1467"/>
      <c r="F242" s="1467"/>
      <c r="G242" s="1467"/>
      <c r="H242" s="1467"/>
      <c r="I242" s="1474" t="s">
        <v>107</v>
      </c>
      <c r="J242" s="1470"/>
      <c r="K242" s="1352"/>
      <c r="L242" s="1471">
        <f t="shared" ref="L242" si="97">J242*K242</f>
        <v>0</v>
      </c>
      <c r="M242" s="1472" t="str">
        <f>IFERROR(IF((VLOOKUP(N242,Überblick!$M$124:$N$132,2))="ja","ja","nein"),"")</f>
        <v/>
      </c>
      <c r="N242" s="1473"/>
      <c r="O242" s="38">
        <f t="shared" si="96"/>
        <v>0</v>
      </c>
      <c r="P242" s="44">
        <f t="shared" si="78"/>
        <v>0</v>
      </c>
      <c r="Q242" s="38">
        <f>IF(AND(N242&lt;1,I242="ja"),1,0)</f>
        <v>0</v>
      </c>
      <c r="R242" s="298"/>
      <c r="S242" s="298"/>
      <c r="T242" s="298"/>
      <c r="U242" s="298"/>
      <c r="V242" s="298"/>
      <c r="W242" s="298"/>
      <c r="X242" s="629"/>
      <c r="AD242" s="38"/>
      <c r="AE242" s="38"/>
      <c r="AF242" s="38"/>
      <c r="AG242" s="38"/>
      <c r="AH242" s="38"/>
      <c r="AI242" s="38"/>
      <c r="AJ242" s="38"/>
      <c r="AK242" s="38"/>
      <c r="AL242" s="38"/>
      <c r="AM242" s="38"/>
    </row>
    <row r="243" spans="2:39" ht="14.25" hidden="1" customHeight="1" outlineLevel="1" x14ac:dyDescent="0.25">
      <c r="B243" s="1511"/>
      <c r="C243" s="1512"/>
      <c r="D243" s="1512"/>
      <c r="E243" s="1512"/>
      <c r="F243" s="1512"/>
      <c r="G243" s="1512"/>
      <c r="H243" s="1512"/>
      <c r="I243" s="1475"/>
      <c r="J243" s="1513"/>
      <c r="K243" s="1365"/>
      <c r="L243" s="1514"/>
      <c r="M243" s="1472"/>
      <c r="N243" s="1515"/>
      <c r="O243" s="38"/>
      <c r="P243" s="44"/>
      <c r="Q243" s="298"/>
      <c r="R243" s="298"/>
      <c r="S243" s="298"/>
      <c r="T243" s="298"/>
      <c r="U243" s="298"/>
      <c r="V243" s="298"/>
      <c r="W243" s="298"/>
      <c r="X243" s="629"/>
      <c r="AD243" s="38"/>
      <c r="AE243" s="38"/>
      <c r="AF243" s="38"/>
      <c r="AG243" s="38"/>
      <c r="AH243" s="38"/>
      <c r="AI243" s="38"/>
      <c r="AJ243" s="38"/>
      <c r="AK243" s="38"/>
      <c r="AL243" s="38"/>
      <c r="AM243" s="38"/>
    </row>
    <row r="244" spans="2:39" ht="14.25" hidden="1" customHeight="1" outlineLevel="1" x14ac:dyDescent="0.25">
      <c r="B244" s="1466" t="s">
        <v>589</v>
      </c>
      <c r="C244" s="1467"/>
      <c r="D244" s="1467"/>
      <c r="E244" s="1467"/>
      <c r="F244" s="1467"/>
      <c r="G244" s="1467"/>
      <c r="H244" s="1467"/>
      <c r="I244" s="1474" t="s">
        <v>107</v>
      </c>
      <c r="J244" s="1470"/>
      <c r="K244" s="1352"/>
      <c r="L244" s="1471">
        <f t="shared" ref="L244" si="98">J244*K244</f>
        <v>0</v>
      </c>
      <c r="M244" s="1472" t="str">
        <f>IFERROR(IF((VLOOKUP(N244,Überblick!$M$124:$N$132,2))="ja","ja","nein"),"")</f>
        <v/>
      </c>
      <c r="N244" s="1473"/>
      <c r="O244" s="38">
        <f t="shared" si="96"/>
        <v>0</v>
      </c>
      <c r="P244" s="44">
        <f t="shared" si="78"/>
        <v>0</v>
      </c>
      <c r="Q244" s="38">
        <f>IF(AND(N244&lt;1,I244="ja"),1,0)</f>
        <v>0</v>
      </c>
      <c r="R244" s="298"/>
      <c r="S244" s="298"/>
      <c r="T244" s="298"/>
      <c r="U244" s="298"/>
      <c r="V244" s="298"/>
      <c r="W244" s="298"/>
      <c r="X244" s="629"/>
      <c r="AD244" s="38"/>
      <c r="AE244" s="38"/>
      <c r="AF244" s="38"/>
      <c r="AG244" s="38"/>
      <c r="AH244" s="38"/>
      <c r="AI244" s="38"/>
      <c r="AJ244" s="38"/>
      <c r="AK244" s="38"/>
      <c r="AL244" s="38"/>
      <c r="AM244" s="38"/>
    </row>
    <row r="245" spans="2:39" ht="14.25" hidden="1" customHeight="1" outlineLevel="1" x14ac:dyDescent="0.25">
      <c r="B245" s="1466"/>
      <c r="C245" s="1467"/>
      <c r="D245" s="1467"/>
      <c r="E245" s="1467"/>
      <c r="F245" s="1467"/>
      <c r="G245" s="1467"/>
      <c r="H245" s="1467"/>
      <c r="I245" s="1475"/>
      <c r="J245" s="1470"/>
      <c r="K245" s="1352"/>
      <c r="L245" s="1471"/>
      <c r="M245" s="1472"/>
      <c r="N245" s="1473"/>
      <c r="O245" s="38"/>
      <c r="P245" s="44"/>
      <c r="Q245" s="38"/>
      <c r="R245" s="298"/>
      <c r="S245" s="298"/>
      <c r="T245" s="298"/>
      <c r="U245" s="298"/>
      <c r="V245" s="298"/>
      <c r="W245" s="298"/>
      <c r="X245" s="629"/>
      <c r="AD245" s="38"/>
      <c r="AE245" s="38"/>
      <c r="AF245" s="38"/>
      <c r="AG245" s="38"/>
      <c r="AH245" s="38"/>
      <c r="AI245" s="38"/>
      <c r="AJ245" s="38"/>
      <c r="AK245" s="38"/>
      <c r="AL245" s="38"/>
      <c r="AM245" s="38"/>
    </row>
    <row r="246" spans="2:39" ht="14.25" hidden="1" customHeight="1" outlineLevel="1" x14ac:dyDescent="0.25">
      <c r="B246" s="1466" t="s">
        <v>590</v>
      </c>
      <c r="C246" s="1467"/>
      <c r="D246" s="1467"/>
      <c r="E246" s="1467"/>
      <c r="F246" s="1467"/>
      <c r="G246" s="1467"/>
      <c r="H246" s="1467"/>
      <c r="I246" s="1468" t="s">
        <v>107</v>
      </c>
      <c r="J246" s="1470"/>
      <c r="K246" s="1352"/>
      <c r="L246" s="1471">
        <f t="shared" ref="L246" si="99">J246*K246</f>
        <v>0</v>
      </c>
      <c r="M246" s="1526" t="str">
        <f>IFERROR(IF((VLOOKUP(N246,Überblick!$M$124:$N$132,2))="ja","ja","nein"),"")</f>
        <v/>
      </c>
      <c r="N246" s="1473"/>
      <c r="O246" s="38">
        <f t="shared" si="96"/>
        <v>0</v>
      </c>
      <c r="P246" s="44">
        <f t="shared" si="78"/>
        <v>0</v>
      </c>
      <c r="Q246" s="38">
        <f>IF(AND(N246&lt;1,I246="ja"),1,0)</f>
        <v>0</v>
      </c>
      <c r="R246" s="298"/>
      <c r="S246" s="298"/>
      <c r="T246" s="298"/>
      <c r="U246" s="298"/>
      <c r="V246" s="298"/>
      <c r="W246" s="298"/>
      <c r="X246" s="629"/>
      <c r="AD246" s="38"/>
      <c r="AE246" s="38"/>
      <c r="AF246" s="38"/>
      <c r="AG246" s="38"/>
      <c r="AH246" s="38"/>
      <c r="AI246" s="38"/>
      <c r="AJ246" s="38"/>
      <c r="AK246" s="38"/>
      <c r="AL246" s="38"/>
      <c r="AM246" s="38"/>
    </row>
    <row r="247" spans="2:39" ht="14.25" hidden="1" customHeight="1" outlineLevel="1" x14ac:dyDescent="0.25">
      <c r="B247" s="1511"/>
      <c r="C247" s="1512"/>
      <c r="D247" s="1512"/>
      <c r="E247" s="1512"/>
      <c r="F247" s="1512"/>
      <c r="G247" s="1512"/>
      <c r="H247" s="1512"/>
      <c r="I247" s="1469"/>
      <c r="J247" s="1513"/>
      <c r="K247" s="1365"/>
      <c r="L247" s="1514"/>
      <c r="M247" s="1526"/>
      <c r="N247" s="1515"/>
      <c r="O247" s="38"/>
      <c r="P247" s="44"/>
      <c r="Q247" s="38"/>
      <c r="R247" s="298"/>
      <c r="S247" s="298"/>
      <c r="T247" s="298"/>
      <c r="U247" s="298"/>
      <c r="V247" s="298"/>
      <c r="W247" s="298"/>
      <c r="X247" s="629"/>
      <c r="AD247" s="38"/>
      <c r="AE247" s="38"/>
      <c r="AF247" s="38"/>
      <c r="AG247" s="38"/>
      <c r="AH247" s="38"/>
      <c r="AI247" s="38"/>
      <c r="AJ247" s="38"/>
      <c r="AK247" s="38"/>
      <c r="AL247" s="38"/>
      <c r="AM247" s="38"/>
    </row>
    <row r="248" spans="2:39" ht="14.25" hidden="1" customHeight="1" outlineLevel="1" x14ac:dyDescent="0.25">
      <c r="B248" s="1511"/>
      <c r="C248" s="1512"/>
      <c r="D248" s="1512"/>
      <c r="E248" s="1512"/>
      <c r="F248" s="1512"/>
      <c r="G248" s="1512"/>
      <c r="H248" s="1512"/>
      <c r="I248" s="1469"/>
      <c r="J248" s="1513"/>
      <c r="K248" s="1365"/>
      <c r="L248" s="1514"/>
      <c r="M248" s="1507"/>
      <c r="N248" s="1515"/>
      <c r="O248" s="38"/>
      <c r="P248" s="44"/>
      <c r="Q248" s="38"/>
      <c r="R248" s="298"/>
      <c r="S248" s="298"/>
      <c r="T248" s="298"/>
      <c r="U248" s="298"/>
      <c r="V248" s="298"/>
      <c r="W248" s="298"/>
      <c r="X248" s="629"/>
      <c r="AD248" s="38"/>
      <c r="AE248" s="38"/>
      <c r="AF248" s="38"/>
      <c r="AG248" s="38"/>
      <c r="AH248" s="38"/>
      <c r="AI248" s="38"/>
      <c r="AJ248" s="38"/>
      <c r="AK248" s="38"/>
      <c r="AL248" s="38"/>
      <c r="AM248" s="38"/>
    </row>
    <row r="249" spans="2:39" ht="14.25" hidden="1" customHeight="1" outlineLevel="1" x14ac:dyDescent="0.25">
      <c r="B249" s="1466" t="s">
        <v>591</v>
      </c>
      <c r="C249" s="1467"/>
      <c r="D249" s="1467"/>
      <c r="E249" s="1467"/>
      <c r="F249" s="1467"/>
      <c r="G249" s="1467"/>
      <c r="H249" s="1467"/>
      <c r="I249" s="1468" t="s">
        <v>107</v>
      </c>
      <c r="J249" s="1470"/>
      <c r="K249" s="1352"/>
      <c r="L249" s="1471">
        <f t="shared" ref="L249" si="100">J249*K249</f>
        <v>0</v>
      </c>
      <c r="M249" s="1472" t="str">
        <f>IFERROR(IF((VLOOKUP(N249,Überblick!$M$124:$N$132,2))="ja","ja","nein"),"")</f>
        <v/>
      </c>
      <c r="N249" s="1473"/>
      <c r="O249" s="38">
        <f t="shared" ref="O249" si="101">IF(AND(I249="ja",J249=""),1,0)</f>
        <v>0</v>
      </c>
      <c r="P249" s="44">
        <f t="shared" si="78"/>
        <v>0</v>
      </c>
      <c r="Q249" s="38">
        <f>IF(AND(N249&lt;1,I249="ja"),1,0)</f>
        <v>0</v>
      </c>
      <c r="R249" s="298"/>
      <c r="S249" s="298"/>
      <c r="T249" s="298"/>
      <c r="U249" s="298"/>
      <c r="V249" s="298"/>
      <c r="W249" s="298"/>
      <c r="X249" s="629"/>
      <c r="AD249" s="38"/>
      <c r="AE249" s="38"/>
      <c r="AF249" s="38"/>
      <c r="AG249" s="38"/>
      <c r="AH249" s="38"/>
      <c r="AI249" s="38"/>
      <c r="AJ249" s="38"/>
      <c r="AK249" s="38"/>
      <c r="AL249" s="38"/>
      <c r="AM249" s="38"/>
    </row>
    <row r="250" spans="2:39" ht="14.25" hidden="1" customHeight="1" outlineLevel="1" x14ac:dyDescent="0.25">
      <c r="B250" s="1466"/>
      <c r="C250" s="1467"/>
      <c r="D250" s="1467"/>
      <c r="E250" s="1467"/>
      <c r="F250" s="1467"/>
      <c r="G250" s="1467"/>
      <c r="H250" s="1467"/>
      <c r="I250" s="1468"/>
      <c r="J250" s="1470"/>
      <c r="K250" s="1352"/>
      <c r="L250" s="1471"/>
      <c r="M250" s="1472"/>
      <c r="N250" s="1473"/>
      <c r="O250" s="38"/>
      <c r="P250" s="44"/>
      <c r="Q250" s="38"/>
      <c r="R250" s="298"/>
      <c r="S250" s="298"/>
      <c r="T250" s="298"/>
      <c r="U250" s="298"/>
      <c r="V250" s="298"/>
      <c r="W250" s="298"/>
      <c r="X250" s="629"/>
      <c r="AD250" s="38"/>
      <c r="AE250" s="38"/>
      <c r="AF250" s="38"/>
      <c r="AG250" s="38"/>
      <c r="AH250" s="38"/>
      <c r="AI250" s="38"/>
      <c r="AJ250" s="38"/>
      <c r="AK250" s="38"/>
      <c r="AL250" s="38"/>
      <c r="AM250" s="38"/>
    </row>
    <row r="251" spans="2:39" ht="14.25" hidden="1" customHeight="1" outlineLevel="1" x14ac:dyDescent="0.25">
      <c r="B251" s="1466"/>
      <c r="C251" s="1467"/>
      <c r="D251" s="1467"/>
      <c r="E251" s="1467"/>
      <c r="F251" s="1467"/>
      <c r="G251" s="1467"/>
      <c r="H251" s="1467"/>
      <c r="I251" s="1468"/>
      <c r="J251" s="1470"/>
      <c r="K251" s="1352"/>
      <c r="L251" s="1471"/>
      <c r="M251" s="1472"/>
      <c r="N251" s="1473"/>
      <c r="O251" s="38"/>
      <c r="P251" s="44"/>
      <c r="Q251" s="298"/>
      <c r="R251" s="298"/>
      <c r="S251" s="298"/>
      <c r="T251" s="298"/>
      <c r="U251" s="298"/>
      <c r="V251" s="298"/>
      <c r="W251" s="298"/>
      <c r="X251" s="629"/>
      <c r="AD251" s="38"/>
      <c r="AE251" s="38"/>
      <c r="AF251" s="38"/>
      <c r="AG251" s="38"/>
      <c r="AH251" s="38"/>
      <c r="AI251" s="38"/>
      <c r="AJ251" s="38"/>
      <c r="AK251" s="38"/>
      <c r="AL251" s="38"/>
      <c r="AM251" s="38"/>
    </row>
    <row r="252" spans="2:39" ht="14.25" hidden="1" customHeight="1" outlineLevel="1" x14ac:dyDescent="0.25">
      <c r="B252" s="1466"/>
      <c r="C252" s="1467"/>
      <c r="D252" s="1467"/>
      <c r="E252" s="1467"/>
      <c r="F252" s="1467"/>
      <c r="G252" s="1467"/>
      <c r="H252" s="1467"/>
      <c r="I252" s="1468"/>
      <c r="J252" s="1470"/>
      <c r="K252" s="1352"/>
      <c r="L252" s="1471"/>
      <c r="M252" s="1472"/>
      <c r="N252" s="1473"/>
      <c r="O252" s="38"/>
      <c r="P252" s="44"/>
      <c r="Q252" s="298"/>
      <c r="R252" s="298"/>
      <c r="S252" s="298"/>
      <c r="T252" s="298"/>
      <c r="U252" s="298"/>
      <c r="V252" s="298"/>
      <c r="W252" s="298"/>
      <c r="X252" s="629"/>
      <c r="AD252" s="38"/>
      <c r="AE252" s="38"/>
      <c r="AF252" s="38"/>
      <c r="AG252" s="38"/>
      <c r="AH252" s="38"/>
      <c r="AI252" s="38"/>
      <c r="AJ252" s="38"/>
      <c r="AK252" s="38"/>
      <c r="AL252" s="38"/>
      <c r="AM252" s="38"/>
    </row>
    <row r="253" spans="2:39" ht="14.25" hidden="1" customHeight="1" outlineLevel="1" x14ac:dyDescent="0.25">
      <c r="B253" s="1516" t="s">
        <v>592</v>
      </c>
      <c r="C253" s="1517"/>
      <c r="D253" s="1517"/>
      <c r="E253" s="1517"/>
      <c r="F253" s="1517"/>
      <c r="G253" s="1517"/>
      <c r="H253" s="1517"/>
      <c r="I253" s="1474" t="s">
        <v>107</v>
      </c>
      <c r="J253" s="1470"/>
      <c r="K253" s="1352"/>
      <c r="L253" s="1471">
        <f t="shared" ref="L253" si="102">J253*K253</f>
        <v>0</v>
      </c>
      <c r="M253" s="1472" t="str">
        <f>IFERROR(IF((VLOOKUP(N253,Überblick!$M$124:$N$132,2))="ja","ja","nein"),"")</f>
        <v/>
      </c>
      <c r="N253" s="1473"/>
      <c r="O253" s="38">
        <f t="shared" ref="O253:O257" si="103">IF(AND(I253="ja",J253=""),1,0)</f>
        <v>0</v>
      </c>
      <c r="P253" s="44">
        <f t="shared" si="78"/>
        <v>0</v>
      </c>
      <c r="Q253" s="38">
        <f>IF(AND(N253&lt;1,I253="ja"),1,0)</f>
        <v>0</v>
      </c>
      <c r="R253" s="298"/>
      <c r="S253" s="298"/>
      <c r="T253" s="298"/>
      <c r="U253" s="298"/>
      <c r="V253" s="298"/>
      <c r="W253" s="298"/>
      <c r="X253" s="629"/>
      <c r="AD253" s="38"/>
      <c r="AE253" s="38"/>
      <c r="AF253" s="38"/>
      <c r="AG253" s="38"/>
      <c r="AH253" s="38"/>
      <c r="AI253" s="38"/>
      <c r="AJ253" s="38"/>
      <c r="AK253" s="38"/>
      <c r="AL253" s="38"/>
      <c r="AM253" s="38"/>
    </row>
    <row r="254" spans="2:39" ht="14.25" hidden="1" customHeight="1" outlineLevel="1" x14ac:dyDescent="0.25">
      <c r="B254" s="1516"/>
      <c r="C254" s="1517"/>
      <c r="D254" s="1517"/>
      <c r="E254" s="1517"/>
      <c r="F254" s="1517"/>
      <c r="G254" s="1517"/>
      <c r="H254" s="1517"/>
      <c r="I254" s="1475"/>
      <c r="J254" s="1470"/>
      <c r="K254" s="1352"/>
      <c r="L254" s="1471"/>
      <c r="M254" s="1472"/>
      <c r="N254" s="1473"/>
      <c r="O254" s="38"/>
      <c r="P254" s="44"/>
      <c r="Q254" s="38"/>
      <c r="R254" s="298"/>
      <c r="S254" s="298"/>
      <c r="T254" s="298"/>
      <c r="U254" s="298"/>
      <c r="V254" s="298"/>
      <c r="W254" s="298"/>
      <c r="X254" s="629"/>
      <c r="AD254" s="38"/>
      <c r="AE254" s="38"/>
      <c r="AF254" s="38"/>
      <c r="AG254" s="38"/>
      <c r="AH254" s="38"/>
      <c r="AI254" s="38"/>
      <c r="AJ254" s="38"/>
      <c r="AK254" s="38"/>
      <c r="AL254" s="38"/>
      <c r="AM254" s="38"/>
    </row>
    <row r="255" spans="2:39" ht="14.25" hidden="1" customHeight="1" outlineLevel="1" x14ac:dyDescent="0.25">
      <c r="B255" s="1466" t="s">
        <v>593</v>
      </c>
      <c r="C255" s="1467"/>
      <c r="D255" s="1467"/>
      <c r="E255" s="1467"/>
      <c r="F255" s="1467"/>
      <c r="G255" s="1467"/>
      <c r="H255" s="1467"/>
      <c r="I255" s="1474" t="s">
        <v>107</v>
      </c>
      <c r="J255" s="1470"/>
      <c r="K255" s="1352"/>
      <c r="L255" s="1471">
        <f t="shared" ref="L255" si="104">J255*K255</f>
        <v>0</v>
      </c>
      <c r="M255" s="1472" t="str">
        <f>IFERROR(IF((VLOOKUP(N255,Überblick!$M$124:$N$132,2))="ja","ja","nein"),"")</f>
        <v/>
      </c>
      <c r="N255" s="1473"/>
      <c r="O255" s="38">
        <f t="shared" si="103"/>
        <v>0</v>
      </c>
      <c r="P255" s="44">
        <f t="shared" si="78"/>
        <v>0</v>
      </c>
      <c r="Q255" s="38">
        <f>IF(AND(N255&lt;1,I255="ja"),1,0)</f>
        <v>0</v>
      </c>
      <c r="R255" s="298"/>
      <c r="S255" s="298"/>
      <c r="T255" s="298"/>
      <c r="U255" s="298"/>
      <c r="V255" s="298"/>
      <c r="W255" s="298"/>
      <c r="X255" s="629"/>
      <c r="AD255" s="38"/>
      <c r="AE255" s="38"/>
      <c r="AF255" s="38"/>
      <c r="AG255" s="38"/>
      <c r="AH255" s="38"/>
      <c r="AI255" s="38"/>
      <c r="AJ255" s="38"/>
      <c r="AK255" s="38"/>
      <c r="AL255" s="38"/>
      <c r="AM255" s="38"/>
    </row>
    <row r="256" spans="2:39" ht="14.25" hidden="1" customHeight="1" outlineLevel="1" x14ac:dyDescent="0.25">
      <c r="B256" s="1466"/>
      <c r="C256" s="1467"/>
      <c r="D256" s="1467"/>
      <c r="E256" s="1467"/>
      <c r="F256" s="1467"/>
      <c r="G256" s="1467"/>
      <c r="H256" s="1467"/>
      <c r="I256" s="1475"/>
      <c r="J256" s="1470"/>
      <c r="K256" s="1352"/>
      <c r="L256" s="1471"/>
      <c r="M256" s="1472"/>
      <c r="N256" s="1473"/>
      <c r="O256" s="38"/>
      <c r="P256" s="44"/>
      <c r="Q256" s="298"/>
      <c r="R256" s="298"/>
      <c r="S256" s="298"/>
      <c r="T256" s="298"/>
      <c r="U256" s="298"/>
      <c r="V256" s="298"/>
      <c r="W256" s="298"/>
      <c r="X256" s="629"/>
      <c r="AD256" s="38"/>
      <c r="AE256" s="38"/>
      <c r="AF256" s="38"/>
      <c r="AG256" s="38"/>
      <c r="AH256" s="38"/>
      <c r="AI256" s="38"/>
      <c r="AJ256" s="38"/>
      <c r="AK256" s="38"/>
      <c r="AL256" s="38"/>
      <c r="AM256" s="38"/>
    </row>
    <row r="257" spans="2:39" ht="14.25" hidden="1" customHeight="1" outlineLevel="1" x14ac:dyDescent="0.25">
      <c r="B257" s="1466" t="s">
        <v>594</v>
      </c>
      <c r="C257" s="1467"/>
      <c r="D257" s="1467"/>
      <c r="E257" s="1467"/>
      <c r="F257" s="1467"/>
      <c r="G257" s="1467"/>
      <c r="H257" s="1467"/>
      <c r="I257" s="1468" t="s">
        <v>107</v>
      </c>
      <c r="J257" s="1470"/>
      <c r="K257" s="1352"/>
      <c r="L257" s="1471">
        <f t="shared" ref="L257" si="105">J257*K257</f>
        <v>0</v>
      </c>
      <c r="M257" s="1472" t="str">
        <f>IFERROR(IF((VLOOKUP(N257,Überblick!$M$124:$N$132,2))="ja","ja","nein"),"")</f>
        <v/>
      </c>
      <c r="N257" s="1473"/>
      <c r="O257" s="38">
        <f t="shared" si="103"/>
        <v>0</v>
      </c>
      <c r="P257" s="44">
        <f t="shared" si="78"/>
        <v>0</v>
      </c>
      <c r="Q257" s="38">
        <f>IF(AND(N257&lt;1,I257="ja"),1,0)</f>
        <v>0</v>
      </c>
      <c r="R257" s="298"/>
      <c r="S257" s="298"/>
      <c r="T257" s="298"/>
      <c r="U257" s="298"/>
      <c r="V257" s="298"/>
      <c r="W257" s="298"/>
      <c r="X257" s="629"/>
      <c r="AD257" s="38"/>
      <c r="AE257" s="38"/>
      <c r="AF257" s="38"/>
      <c r="AG257" s="38"/>
      <c r="AH257" s="38"/>
      <c r="AI257" s="38"/>
      <c r="AJ257" s="38"/>
      <c r="AK257" s="38"/>
      <c r="AL257" s="38"/>
      <c r="AM257" s="38"/>
    </row>
    <row r="258" spans="2:39" ht="14.25" hidden="1" customHeight="1" outlineLevel="1" x14ac:dyDescent="0.25">
      <c r="B258" s="1511"/>
      <c r="C258" s="1512"/>
      <c r="D258" s="1512"/>
      <c r="E258" s="1512"/>
      <c r="F258" s="1512"/>
      <c r="G258" s="1512"/>
      <c r="H258" s="1512"/>
      <c r="I258" s="1469"/>
      <c r="J258" s="1513"/>
      <c r="K258" s="1365"/>
      <c r="L258" s="1514"/>
      <c r="M258" s="1601"/>
      <c r="N258" s="1515"/>
      <c r="O258" s="38"/>
      <c r="P258" s="44"/>
      <c r="Q258" s="298"/>
      <c r="R258" s="298"/>
      <c r="S258" s="298"/>
      <c r="T258" s="298"/>
      <c r="U258" s="298"/>
      <c r="V258" s="298"/>
      <c r="W258" s="298"/>
      <c r="X258" s="629"/>
      <c r="AD258" s="38"/>
      <c r="AE258" s="38"/>
      <c r="AF258" s="38"/>
      <c r="AG258" s="38"/>
      <c r="AH258" s="38"/>
      <c r="AI258" s="38"/>
      <c r="AJ258" s="38"/>
      <c r="AK258" s="38"/>
      <c r="AL258" s="38"/>
      <c r="AM258" s="38"/>
    </row>
    <row r="259" spans="2:39" ht="14.25" hidden="1" customHeight="1" outlineLevel="1" x14ac:dyDescent="0.25">
      <c r="B259" s="1511"/>
      <c r="C259" s="1512"/>
      <c r="D259" s="1512"/>
      <c r="E259" s="1512"/>
      <c r="F259" s="1512"/>
      <c r="G259" s="1512"/>
      <c r="H259" s="1512"/>
      <c r="I259" s="1469"/>
      <c r="J259" s="1513"/>
      <c r="K259" s="1365"/>
      <c r="L259" s="1514"/>
      <c r="M259" s="1601"/>
      <c r="N259" s="1515"/>
      <c r="O259" s="38"/>
      <c r="P259" s="44"/>
      <c r="Q259" s="298"/>
      <c r="R259" s="298"/>
      <c r="S259" s="298"/>
      <c r="T259" s="298"/>
      <c r="U259" s="298"/>
      <c r="V259" s="298"/>
      <c r="W259" s="298"/>
      <c r="X259" s="629"/>
      <c r="AD259" s="38"/>
      <c r="AE259" s="38"/>
      <c r="AF259" s="38"/>
      <c r="AG259" s="38"/>
      <c r="AH259" s="38"/>
      <c r="AI259" s="38"/>
      <c r="AJ259" s="38"/>
      <c r="AK259" s="38"/>
      <c r="AL259" s="38"/>
      <c r="AM259" s="38"/>
    </row>
    <row r="260" spans="2:39" ht="14.25" hidden="1" customHeight="1" outlineLevel="1" x14ac:dyDescent="0.25">
      <c r="B260" s="1511"/>
      <c r="C260" s="1512"/>
      <c r="D260" s="1512"/>
      <c r="E260" s="1512"/>
      <c r="F260" s="1512"/>
      <c r="G260" s="1512"/>
      <c r="H260" s="1512"/>
      <c r="I260" s="1469"/>
      <c r="J260" s="1513"/>
      <c r="K260" s="1365"/>
      <c r="L260" s="1514"/>
      <c r="M260" s="1601"/>
      <c r="N260" s="1515"/>
      <c r="O260" s="38"/>
      <c r="P260" s="44"/>
      <c r="Q260" s="298"/>
      <c r="R260" s="298"/>
      <c r="S260" s="298"/>
      <c r="T260" s="298"/>
      <c r="U260" s="298"/>
      <c r="V260" s="298"/>
      <c r="W260" s="298"/>
      <c r="X260" s="629"/>
      <c r="AD260" s="38"/>
      <c r="AE260" s="38"/>
      <c r="AF260" s="38"/>
      <c r="AG260" s="38"/>
      <c r="AH260" s="38"/>
      <c r="AI260" s="38"/>
      <c r="AJ260" s="38"/>
      <c r="AK260" s="38"/>
      <c r="AL260" s="38"/>
      <c r="AM260" s="38"/>
    </row>
    <row r="261" spans="2:39" ht="14.25" hidden="1" customHeight="1" outlineLevel="1" x14ac:dyDescent="0.25">
      <c r="B261" s="1511"/>
      <c r="C261" s="1512"/>
      <c r="D261" s="1512"/>
      <c r="E261" s="1512"/>
      <c r="F261" s="1512"/>
      <c r="G261" s="1512"/>
      <c r="H261" s="1512"/>
      <c r="I261" s="1468"/>
      <c r="J261" s="1513"/>
      <c r="K261" s="1365"/>
      <c r="L261" s="1514"/>
      <c r="M261" s="1601"/>
      <c r="N261" s="1515"/>
      <c r="O261" s="38"/>
      <c r="P261" s="44"/>
      <c r="Q261" s="298"/>
      <c r="R261" s="298"/>
      <c r="S261" s="298"/>
      <c r="T261" s="298"/>
      <c r="U261" s="298"/>
      <c r="V261" s="298"/>
      <c r="W261" s="298"/>
      <c r="X261" s="629"/>
      <c r="AD261" s="38"/>
      <c r="AE261" s="38"/>
      <c r="AF261" s="38"/>
      <c r="AG261" s="38"/>
      <c r="AH261" s="38"/>
      <c r="AI261" s="38"/>
      <c r="AJ261" s="38"/>
      <c r="AK261" s="38"/>
      <c r="AL261" s="38"/>
      <c r="AM261" s="38"/>
    </row>
    <row r="262" spans="2:39" ht="14.25" hidden="1" customHeight="1" outlineLevel="1" x14ac:dyDescent="0.25">
      <c r="B262" s="1466" t="s">
        <v>595</v>
      </c>
      <c r="C262" s="1467"/>
      <c r="D262" s="1467"/>
      <c r="E262" s="1467"/>
      <c r="F262" s="1467"/>
      <c r="G262" s="1467"/>
      <c r="H262" s="1467"/>
      <c r="I262" s="1474" t="s">
        <v>107</v>
      </c>
      <c r="J262" s="1470"/>
      <c r="K262" s="1352"/>
      <c r="L262" s="1471">
        <f t="shared" ref="L262" si="106">J262*K262</f>
        <v>0</v>
      </c>
      <c r="M262" s="1472" t="str">
        <f>IFERROR(IF((VLOOKUP(N262,Überblick!$M$124:$N$132,2))="ja","ja","nein"),"")</f>
        <v/>
      </c>
      <c r="N262" s="1473"/>
      <c r="O262" s="38">
        <f t="shared" ref="O262:O292" si="107">IF(AND(I262="ja",J262=""),1,0)</f>
        <v>0</v>
      </c>
      <c r="P262" s="44">
        <f t="shared" si="78"/>
        <v>0</v>
      </c>
      <c r="Q262" s="38">
        <f>IF(AND(N262&lt;1,I262="ja"),1,0)</f>
        <v>0</v>
      </c>
      <c r="R262" s="298"/>
      <c r="S262" s="298"/>
      <c r="T262" s="298"/>
      <c r="U262" s="298"/>
      <c r="V262" s="298"/>
      <c r="W262" s="298"/>
      <c r="X262" s="629"/>
      <c r="AD262" s="38"/>
      <c r="AE262" s="38"/>
      <c r="AF262" s="38"/>
      <c r="AG262" s="38"/>
      <c r="AH262" s="38"/>
      <c r="AI262" s="38"/>
      <c r="AJ262" s="38"/>
      <c r="AK262" s="38"/>
      <c r="AL262" s="38"/>
      <c r="AM262" s="38"/>
    </row>
    <row r="263" spans="2:39" ht="14.25" hidden="1" customHeight="1" outlineLevel="1" x14ac:dyDescent="0.25">
      <c r="B263" s="1466"/>
      <c r="C263" s="1467"/>
      <c r="D263" s="1467"/>
      <c r="E263" s="1467"/>
      <c r="F263" s="1467"/>
      <c r="G263" s="1467"/>
      <c r="H263" s="1467"/>
      <c r="I263" s="1475"/>
      <c r="J263" s="1470"/>
      <c r="K263" s="1352"/>
      <c r="L263" s="1471"/>
      <c r="M263" s="1472"/>
      <c r="N263" s="1473"/>
      <c r="O263" s="38"/>
      <c r="P263" s="44"/>
      <c r="Q263" s="38"/>
      <c r="R263" s="298"/>
      <c r="S263" s="298"/>
      <c r="T263" s="298"/>
      <c r="U263" s="298"/>
      <c r="V263" s="298"/>
      <c r="W263" s="298"/>
      <c r="X263" s="629"/>
      <c r="AD263" s="38"/>
      <c r="AE263" s="38"/>
      <c r="AF263" s="38"/>
      <c r="AG263" s="38"/>
      <c r="AH263" s="38"/>
      <c r="AI263" s="38"/>
      <c r="AJ263" s="38"/>
      <c r="AK263" s="38"/>
      <c r="AL263" s="38"/>
      <c r="AM263" s="38"/>
    </row>
    <row r="264" spans="2:39" ht="14.25" hidden="1" customHeight="1" outlineLevel="1" x14ac:dyDescent="0.25">
      <c r="B264" s="1466" t="s">
        <v>596</v>
      </c>
      <c r="C264" s="1467"/>
      <c r="D264" s="1467"/>
      <c r="E264" s="1467"/>
      <c r="F264" s="1467"/>
      <c r="G264" s="1467"/>
      <c r="H264" s="1467"/>
      <c r="I264" s="1474" t="s">
        <v>107</v>
      </c>
      <c r="J264" s="1470"/>
      <c r="K264" s="1352"/>
      <c r="L264" s="1471">
        <f t="shared" ref="L264" si="108">J264*K264</f>
        <v>0</v>
      </c>
      <c r="M264" s="1472" t="str">
        <f>IFERROR(IF((VLOOKUP(N264,Überblick!$M$124:$N$132,2))="ja","ja","nein"),"")</f>
        <v/>
      </c>
      <c r="N264" s="1473"/>
      <c r="O264" s="38">
        <f t="shared" si="107"/>
        <v>0</v>
      </c>
      <c r="P264" s="44">
        <f t="shared" si="78"/>
        <v>0</v>
      </c>
      <c r="Q264" s="38">
        <f>IF(AND(N264&lt;1,I264="ja"),1,0)</f>
        <v>0</v>
      </c>
      <c r="R264" s="298"/>
      <c r="S264" s="298"/>
      <c r="T264" s="298"/>
      <c r="U264" s="298"/>
      <c r="V264" s="298"/>
      <c r="W264" s="298"/>
      <c r="X264" s="629"/>
      <c r="AD264" s="38"/>
      <c r="AE264" s="38"/>
      <c r="AF264" s="38"/>
      <c r="AG264" s="38"/>
      <c r="AH264" s="38"/>
      <c r="AI264" s="38"/>
      <c r="AJ264" s="38"/>
      <c r="AK264" s="38"/>
      <c r="AL264" s="38"/>
      <c r="AM264" s="38"/>
    </row>
    <row r="265" spans="2:39" ht="14.25" hidden="1" customHeight="1" outlineLevel="1" x14ac:dyDescent="0.25">
      <c r="B265" s="1466"/>
      <c r="C265" s="1467"/>
      <c r="D265" s="1467"/>
      <c r="E265" s="1467"/>
      <c r="F265" s="1467"/>
      <c r="G265" s="1467"/>
      <c r="H265" s="1467"/>
      <c r="I265" s="1475"/>
      <c r="J265" s="1470"/>
      <c r="K265" s="1352"/>
      <c r="L265" s="1471"/>
      <c r="M265" s="1472"/>
      <c r="N265" s="1473"/>
      <c r="O265" s="38"/>
      <c r="P265" s="44"/>
      <c r="Q265" s="298"/>
      <c r="R265" s="298"/>
      <c r="S265" s="298"/>
      <c r="T265" s="298"/>
      <c r="U265" s="298"/>
      <c r="V265" s="298"/>
      <c r="W265" s="298"/>
      <c r="X265" s="629"/>
      <c r="AD265" s="38"/>
      <c r="AE265" s="38"/>
      <c r="AF265" s="38"/>
      <c r="AG265" s="38"/>
      <c r="AH265" s="38"/>
      <c r="AI265" s="38"/>
      <c r="AJ265" s="38"/>
      <c r="AK265" s="38"/>
      <c r="AL265" s="38"/>
      <c r="AM265" s="38"/>
    </row>
    <row r="266" spans="2:39" ht="14.25" hidden="1" customHeight="1" outlineLevel="1" x14ac:dyDescent="0.25">
      <c r="B266" s="1466" t="s">
        <v>597</v>
      </c>
      <c r="C266" s="1467"/>
      <c r="D266" s="1467"/>
      <c r="E266" s="1467"/>
      <c r="F266" s="1467"/>
      <c r="G266" s="1467"/>
      <c r="H266" s="1467"/>
      <c r="I266" s="1474" t="s">
        <v>107</v>
      </c>
      <c r="J266" s="1470"/>
      <c r="K266" s="1352"/>
      <c r="L266" s="1471">
        <f t="shared" ref="L266" si="109">J266*K266</f>
        <v>0</v>
      </c>
      <c r="M266" s="1472" t="str">
        <f>IFERROR(IF((VLOOKUP(N266,Überblick!$M$124:$N$132,2))="ja","ja","nein"),"")</f>
        <v/>
      </c>
      <c r="N266" s="1473"/>
      <c r="O266" s="38">
        <f t="shared" si="107"/>
        <v>0</v>
      </c>
      <c r="P266" s="44">
        <f t="shared" ref="P266:P328" si="110">IF(I266="ja",1,0)</f>
        <v>0</v>
      </c>
      <c r="Q266" s="38">
        <f>IF(AND(N266&lt;1,I266="ja"),1,0)</f>
        <v>0</v>
      </c>
      <c r="R266" s="298"/>
      <c r="S266" s="298"/>
      <c r="T266" s="298"/>
      <c r="U266" s="298"/>
      <c r="V266" s="298"/>
      <c r="W266" s="298"/>
      <c r="X266" s="629"/>
      <c r="AD266" s="38"/>
      <c r="AE266" s="38"/>
      <c r="AF266" s="38"/>
      <c r="AG266" s="38"/>
      <c r="AH266" s="38"/>
      <c r="AI266" s="38"/>
      <c r="AJ266" s="38"/>
      <c r="AK266" s="38"/>
      <c r="AL266" s="38"/>
      <c r="AM266" s="38"/>
    </row>
    <row r="267" spans="2:39" ht="14.25" hidden="1" customHeight="1" outlineLevel="1" x14ac:dyDescent="0.25">
      <c r="B267" s="1466"/>
      <c r="C267" s="1467"/>
      <c r="D267" s="1467"/>
      <c r="E267" s="1467"/>
      <c r="F267" s="1467"/>
      <c r="G267" s="1467"/>
      <c r="H267" s="1467"/>
      <c r="I267" s="1475"/>
      <c r="J267" s="1470"/>
      <c r="K267" s="1352"/>
      <c r="L267" s="1471"/>
      <c r="M267" s="1472"/>
      <c r="N267" s="1473"/>
      <c r="O267" s="38"/>
      <c r="P267" s="44"/>
      <c r="Q267" s="298"/>
      <c r="R267" s="298"/>
      <c r="S267" s="298"/>
      <c r="T267" s="298"/>
      <c r="U267" s="298"/>
      <c r="V267" s="298"/>
      <c r="W267" s="298"/>
      <c r="X267" s="629"/>
      <c r="AD267" s="38"/>
      <c r="AE267" s="38"/>
      <c r="AF267" s="38"/>
      <c r="AG267" s="38"/>
      <c r="AH267" s="38"/>
      <c r="AI267" s="38"/>
      <c r="AJ267" s="38"/>
      <c r="AK267" s="38"/>
      <c r="AL267" s="38"/>
      <c r="AM267" s="38"/>
    </row>
    <row r="268" spans="2:39" ht="14.25" hidden="1" customHeight="1" outlineLevel="1" x14ac:dyDescent="0.25">
      <c r="B268" s="1466" t="s">
        <v>567</v>
      </c>
      <c r="C268" s="1467"/>
      <c r="D268" s="1467"/>
      <c r="E268" s="1467"/>
      <c r="F268" s="1467"/>
      <c r="G268" s="1467"/>
      <c r="H268" s="1467"/>
      <c r="I268" s="1474" t="s">
        <v>107</v>
      </c>
      <c r="J268" s="1470"/>
      <c r="K268" s="1352"/>
      <c r="L268" s="1471">
        <f>J268*K268</f>
        <v>0</v>
      </c>
      <c r="M268" s="1472" t="str">
        <f>IFERROR(IF((VLOOKUP(N268,Überblick!$M$124:$N$132,2))="ja","ja","nein"),"")</f>
        <v/>
      </c>
      <c r="N268" s="1473"/>
      <c r="O268" s="38">
        <f t="shared" si="107"/>
        <v>0</v>
      </c>
      <c r="P268" s="44">
        <f t="shared" si="110"/>
        <v>0</v>
      </c>
      <c r="Q268" s="38">
        <f>IF(AND(N268&lt;1,I268="ja"),1,0)</f>
        <v>0</v>
      </c>
      <c r="R268" s="298"/>
      <c r="S268" s="298"/>
      <c r="T268" s="298"/>
      <c r="U268" s="298"/>
      <c r="V268" s="298"/>
      <c r="W268" s="298"/>
      <c r="X268" s="629"/>
      <c r="AD268" s="38"/>
      <c r="AE268" s="38"/>
      <c r="AF268" s="38"/>
      <c r="AG268" s="38"/>
      <c r="AH268" s="38"/>
      <c r="AI268" s="38"/>
      <c r="AJ268" s="38"/>
      <c r="AK268" s="38"/>
      <c r="AL268" s="38"/>
      <c r="AM268" s="38"/>
    </row>
    <row r="269" spans="2:39" ht="14.25" hidden="1" customHeight="1" outlineLevel="1" x14ac:dyDescent="0.25">
      <c r="B269" s="1466"/>
      <c r="C269" s="1467"/>
      <c r="D269" s="1467"/>
      <c r="E269" s="1467"/>
      <c r="F269" s="1467"/>
      <c r="G269" s="1467"/>
      <c r="H269" s="1467"/>
      <c r="I269" s="1475"/>
      <c r="J269" s="1470"/>
      <c r="K269" s="1352"/>
      <c r="L269" s="1471"/>
      <c r="M269" s="1472"/>
      <c r="N269" s="1473"/>
      <c r="O269" s="38"/>
      <c r="P269" s="44"/>
      <c r="Q269" s="38"/>
      <c r="R269" s="298"/>
      <c r="S269" s="298"/>
      <c r="T269" s="298"/>
      <c r="U269" s="298"/>
      <c r="V269" s="298"/>
      <c r="W269" s="298"/>
      <c r="X269" s="629"/>
      <c r="AD269" s="38"/>
      <c r="AE269" s="38"/>
      <c r="AF269" s="38"/>
      <c r="AG269" s="38"/>
      <c r="AH269" s="38"/>
      <c r="AI269" s="38"/>
      <c r="AJ269" s="38"/>
      <c r="AK269" s="38"/>
      <c r="AL269" s="38"/>
      <c r="AM269" s="38"/>
    </row>
    <row r="270" spans="2:39" ht="14.25" hidden="1" customHeight="1" outlineLevel="1" x14ac:dyDescent="0.25">
      <c r="B270" s="1466" t="s">
        <v>598</v>
      </c>
      <c r="C270" s="1467"/>
      <c r="D270" s="1467"/>
      <c r="E270" s="1467"/>
      <c r="F270" s="1467"/>
      <c r="G270" s="1467"/>
      <c r="H270" s="1467"/>
      <c r="I270" s="1474" t="s">
        <v>107</v>
      </c>
      <c r="J270" s="1470"/>
      <c r="K270" s="1352"/>
      <c r="L270" s="1471">
        <f t="shared" ref="L270" si="111">J270*K270</f>
        <v>0</v>
      </c>
      <c r="M270" s="1472" t="str">
        <f>IFERROR(IF((VLOOKUP(N270,Überblick!$M$124:$N$132,2))="ja","ja","nein"),"")</f>
        <v/>
      </c>
      <c r="N270" s="1473"/>
      <c r="O270" s="38">
        <f t="shared" si="107"/>
        <v>0</v>
      </c>
      <c r="P270" s="44">
        <f t="shared" si="110"/>
        <v>0</v>
      </c>
      <c r="Q270" s="38">
        <f>IF(AND(N270&lt;1,I270="ja"),1,0)</f>
        <v>0</v>
      </c>
      <c r="R270" s="298"/>
      <c r="S270" s="298"/>
      <c r="T270" s="298"/>
      <c r="U270" s="298"/>
      <c r="V270" s="298"/>
      <c r="W270" s="298"/>
      <c r="X270" s="629"/>
      <c r="AD270" s="38"/>
      <c r="AE270" s="38"/>
      <c r="AF270" s="38"/>
      <c r="AG270" s="38"/>
      <c r="AH270" s="38"/>
      <c r="AI270" s="38"/>
      <c r="AJ270" s="38"/>
      <c r="AK270" s="38"/>
      <c r="AL270" s="38"/>
      <c r="AM270" s="38"/>
    </row>
    <row r="271" spans="2:39" ht="14.25" hidden="1" customHeight="1" outlineLevel="1" x14ac:dyDescent="0.25">
      <c r="B271" s="1466"/>
      <c r="C271" s="1467"/>
      <c r="D271" s="1467"/>
      <c r="E271" s="1467"/>
      <c r="F271" s="1467"/>
      <c r="G271" s="1467"/>
      <c r="H271" s="1467"/>
      <c r="I271" s="1475"/>
      <c r="J271" s="1470"/>
      <c r="K271" s="1352"/>
      <c r="L271" s="1471"/>
      <c r="M271" s="1472"/>
      <c r="N271" s="1473"/>
      <c r="O271" s="38"/>
      <c r="P271" s="44"/>
      <c r="Q271" s="298"/>
      <c r="R271" s="298"/>
      <c r="S271" s="298"/>
      <c r="T271" s="298"/>
      <c r="U271" s="298"/>
      <c r="V271" s="298"/>
      <c r="W271" s="298"/>
      <c r="X271" s="629"/>
      <c r="AD271" s="38"/>
      <c r="AE271" s="38"/>
      <c r="AF271" s="38"/>
      <c r="AG271" s="38"/>
      <c r="AH271" s="38"/>
      <c r="AI271" s="38"/>
      <c r="AJ271" s="38"/>
      <c r="AK271" s="38"/>
      <c r="AL271" s="38"/>
      <c r="AM271" s="38"/>
    </row>
    <row r="272" spans="2:39" ht="14.25" hidden="1" customHeight="1" outlineLevel="1" x14ac:dyDescent="0.25">
      <c r="B272" s="1466" t="s">
        <v>599</v>
      </c>
      <c r="C272" s="1467"/>
      <c r="D272" s="1467"/>
      <c r="E272" s="1467"/>
      <c r="F272" s="1467"/>
      <c r="G272" s="1467"/>
      <c r="H272" s="1467"/>
      <c r="I272" s="1474" t="s">
        <v>107</v>
      </c>
      <c r="J272" s="1470"/>
      <c r="K272" s="1352"/>
      <c r="L272" s="1471">
        <f t="shared" ref="L272" si="112">J272*K272</f>
        <v>0</v>
      </c>
      <c r="M272" s="1472" t="str">
        <f>IFERROR(IF((VLOOKUP(N272,Überblick!$M$124:$N$132,2))="ja","ja","nein"),"")</f>
        <v/>
      </c>
      <c r="N272" s="1473"/>
      <c r="O272" s="38">
        <f t="shared" si="107"/>
        <v>0</v>
      </c>
      <c r="P272" s="44">
        <f t="shared" si="110"/>
        <v>0</v>
      </c>
      <c r="Q272" s="38">
        <f>IF(AND(N272&lt;1,I272="ja"),1,0)</f>
        <v>0</v>
      </c>
      <c r="R272" s="298"/>
      <c r="S272" s="298"/>
      <c r="T272" s="298"/>
      <c r="U272" s="298"/>
      <c r="V272" s="298"/>
      <c r="W272" s="298"/>
      <c r="X272" s="629"/>
      <c r="AD272" s="38"/>
      <c r="AE272" s="38"/>
      <c r="AF272" s="38"/>
      <c r="AG272" s="38"/>
      <c r="AH272" s="38"/>
      <c r="AI272" s="38"/>
      <c r="AJ272" s="38"/>
      <c r="AK272" s="38"/>
      <c r="AL272" s="38"/>
      <c r="AM272" s="38"/>
    </row>
    <row r="273" spans="2:39" ht="14.25" hidden="1" customHeight="1" outlineLevel="1" x14ac:dyDescent="0.25">
      <c r="B273" s="1466"/>
      <c r="C273" s="1467"/>
      <c r="D273" s="1467"/>
      <c r="E273" s="1467"/>
      <c r="F273" s="1467"/>
      <c r="G273" s="1467"/>
      <c r="H273" s="1467"/>
      <c r="I273" s="1475"/>
      <c r="J273" s="1470"/>
      <c r="K273" s="1352"/>
      <c r="L273" s="1471"/>
      <c r="M273" s="1472"/>
      <c r="N273" s="1473"/>
      <c r="O273" s="38"/>
      <c r="P273" s="44"/>
      <c r="Q273" s="298"/>
      <c r="R273" s="298"/>
      <c r="S273" s="298"/>
      <c r="T273" s="298"/>
      <c r="U273" s="298"/>
      <c r="V273" s="298"/>
      <c r="W273" s="298"/>
      <c r="X273" s="629"/>
      <c r="AD273" s="38"/>
      <c r="AE273" s="38"/>
      <c r="AF273" s="38"/>
      <c r="AG273" s="38"/>
      <c r="AH273" s="38"/>
      <c r="AI273" s="38"/>
      <c r="AJ273" s="38"/>
      <c r="AK273" s="38"/>
      <c r="AL273" s="38"/>
      <c r="AM273" s="38"/>
    </row>
    <row r="274" spans="2:39" ht="14.25" hidden="1" customHeight="1" outlineLevel="1" x14ac:dyDescent="0.25">
      <c r="B274" s="1466" t="s">
        <v>600</v>
      </c>
      <c r="C274" s="1467"/>
      <c r="D274" s="1467"/>
      <c r="E274" s="1467"/>
      <c r="F274" s="1467"/>
      <c r="G274" s="1467"/>
      <c r="H274" s="1467"/>
      <c r="I274" s="1474" t="s">
        <v>107</v>
      </c>
      <c r="J274" s="1513"/>
      <c r="K274" s="1365"/>
      <c r="L274" s="1471">
        <f t="shared" ref="L274" si="113">J274*K274</f>
        <v>0</v>
      </c>
      <c r="M274" s="1472" t="str">
        <f>IFERROR(IF((VLOOKUP(N274,Überblick!$M$124:$N$132,2))="ja","ja","nein"),"")</f>
        <v/>
      </c>
      <c r="N274" s="1473"/>
      <c r="O274" s="38">
        <f t="shared" si="107"/>
        <v>0</v>
      </c>
      <c r="P274" s="44">
        <f t="shared" si="110"/>
        <v>0</v>
      </c>
      <c r="Q274" s="38">
        <f>IF(AND(N274&lt;1,I274="ja"),1,0)</f>
        <v>0</v>
      </c>
      <c r="R274" s="298"/>
      <c r="S274" s="298"/>
      <c r="T274" s="298"/>
      <c r="U274" s="298"/>
      <c r="V274" s="298"/>
      <c r="W274" s="298"/>
      <c r="X274" s="629"/>
      <c r="AD274" s="38"/>
      <c r="AE274" s="38"/>
      <c r="AF274" s="38"/>
      <c r="AG274" s="38"/>
      <c r="AH274" s="38"/>
      <c r="AI274" s="38"/>
      <c r="AJ274" s="38"/>
      <c r="AK274" s="38"/>
      <c r="AL274" s="38"/>
      <c r="AM274" s="38"/>
    </row>
    <row r="275" spans="2:39" ht="14.25" hidden="1" customHeight="1" outlineLevel="1" x14ac:dyDescent="0.25">
      <c r="B275" s="1466"/>
      <c r="C275" s="1467"/>
      <c r="D275" s="1467"/>
      <c r="E275" s="1467"/>
      <c r="F275" s="1467"/>
      <c r="G275" s="1467"/>
      <c r="H275" s="1467"/>
      <c r="I275" s="1475"/>
      <c r="J275" s="1503"/>
      <c r="K275" s="1419"/>
      <c r="L275" s="1471"/>
      <c r="M275" s="1472"/>
      <c r="N275" s="1473"/>
      <c r="O275" s="38"/>
      <c r="P275" s="44"/>
      <c r="Q275" s="38"/>
      <c r="R275" s="298"/>
      <c r="S275" s="298"/>
      <c r="T275" s="298"/>
      <c r="U275" s="298"/>
      <c r="V275" s="298"/>
      <c r="W275" s="298"/>
      <c r="X275" s="629"/>
      <c r="AD275" s="38"/>
      <c r="AE275" s="38"/>
      <c r="AF275" s="38"/>
      <c r="AG275" s="38"/>
      <c r="AH275" s="38"/>
      <c r="AI275" s="38"/>
      <c r="AJ275" s="38"/>
      <c r="AK275" s="38"/>
      <c r="AL275" s="38"/>
      <c r="AM275" s="38"/>
    </row>
    <row r="276" spans="2:39" ht="14.25" hidden="1" customHeight="1" outlineLevel="1" x14ac:dyDescent="0.25">
      <c r="B276" s="1466" t="s">
        <v>601</v>
      </c>
      <c r="C276" s="1467"/>
      <c r="D276" s="1467"/>
      <c r="E276" s="1467"/>
      <c r="F276" s="1467"/>
      <c r="G276" s="1467"/>
      <c r="H276" s="1467"/>
      <c r="I276" s="1474" t="s">
        <v>107</v>
      </c>
      <c r="J276" s="1513"/>
      <c r="K276" s="1365"/>
      <c r="L276" s="1471">
        <f t="shared" ref="L276" si="114">J276*K276</f>
        <v>0</v>
      </c>
      <c r="M276" s="1472" t="str">
        <f>IFERROR(IF((VLOOKUP(N276,Überblick!$M$124:$N$132,2))="ja","ja","nein"),"")</f>
        <v/>
      </c>
      <c r="N276" s="1473"/>
      <c r="O276" s="38">
        <f t="shared" si="107"/>
        <v>0</v>
      </c>
      <c r="P276" s="44">
        <f t="shared" si="110"/>
        <v>0</v>
      </c>
      <c r="Q276" s="38">
        <f>IF(AND(N276&lt;1,I276="ja"),1,0)</f>
        <v>0</v>
      </c>
      <c r="R276" s="298"/>
      <c r="S276" s="298"/>
      <c r="T276" s="298"/>
      <c r="U276" s="298"/>
      <c r="V276" s="298"/>
      <c r="W276" s="298"/>
      <c r="X276" s="629"/>
      <c r="AD276" s="38"/>
      <c r="AE276" s="38"/>
      <c r="AF276" s="38"/>
      <c r="AG276" s="38"/>
      <c r="AH276" s="38"/>
      <c r="AI276" s="38"/>
      <c r="AJ276" s="38"/>
      <c r="AK276" s="38"/>
      <c r="AL276" s="38"/>
      <c r="AM276" s="38"/>
    </row>
    <row r="277" spans="2:39" ht="14.25" hidden="1" customHeight="1" outlineLevel="1" x14ac:dyDescent="0.25">
      <c r="B277" s="1466"/>
      <c r="C277" s="1467"/>
      <c r="D277" s="1467"/>
      <c r="E277" s="1467"/>
      <c r="F277" s="1467"/>
      <c r="G277" s="1467"/>
      <c r="H277" s="1467"/>
      <c r="I277" s="1475"/>
      <c r="J277" s="1502"/>
      <c r="K277" s="1505"/>
      <c r="L277" s="1471"/>
      <c r="M277" s="1472"/>
      <c r="N277" s="1473"/>
      <c r="O277" s="38"/>
      <c r="P277" s="44"/>
      <c r="Q277" s="298"/>
      <c r="R277" s="298"/>
      <c r="S277" s="298"/>
      <c r="T277" s="298"/>
      <c r="U277" s="298"/>
      <c r="V277" s="298"/>
      <c r="W277" s="298"/>
      <c r="X277" s="629"/>
      <c r="AD277" s="38"/>
      <c r="AE277" s="38"/>
      <c r="AF277" s="38"/>
      <c r="AG277" s="38"/>
      <c r="AH277" s="38"/>
      <c r="AI277" s="38"/>
      <c r="AJ277" s="38"/>
      <c r="AK277" s="38"/>
      <c r="AL277" s="38"/>
      <c r="AM277" s="38"/>
    </row>
    <row r="278" spans="2:39" ht="14.25" hidden="1" customHeight="1" outlineLevel="1" x14ac:dyDescent="0.25">
      <c r="B278" s="1466" t="s">
        <v>602</v>
      </c>
      <c r="C278" s="1467"/>
      <c r="D278" s="1467"/>
      <c r="E278" s="1467"/>
      <c r="F278" s="1467"/>
      <c r="G278" s="1467"/>
      <c r="H278" s="1467"/>
      <c r="I278" s="1474" t="s">
        <v>107</v>
      </c>
      <c r="J278" s="1513"/>
      <c r="K278" s="1365"/>
      <c r="L278" s="1471">
        <f t="shared" ref="L278" si="115">J278*K278</f>
        <v>0</v>
      </c>
      <c r="M278" s="1472" t="str">
        <f>IFERROR(IF((VLOOKUP(N278,Überblick!$M$124:$N$132,2))="ja","ja","nein"),"")</f>
        <v/>
      </c>
      <c r="N278" s="1473"/>
      <c r="O278" s="38">
        <f t="shared" si="107"/>
        <v>0</v>
      </c>
      <c r="P278" s="44">
        <f t="shared" si="110"/>
        <v>0</v>
      </c>
      <c r="Q278" s="38">
        <f>IF(AND(N278&lt;1,I278="ja"),1,0)</f>
        <v>0</v>
      </c>
      <c r="R278" s="298"/>
      <c r="S278" s="298"/>
      <c r="T278" s="298"/>
      <c r="U278" s="298"/>
      <c r="V278" s="298"/>
      <c r="W278" s="298"/>
      <c r="X278" s="629"/>
      <c r="AD278" s="38"/>
      <c r="AE278" s="38"/>
      <c r="AF278" s="38"/>
      <c r="AG278" s="38"/>
      <c r="AH278" s="38"/>
      <c r="AI278" s="38"/>
      <c r="AJ278" s="38"/>
      <c r="AK278" s="38"/>
      <c r="AL278" s="38"/>
      <c r="AM278" s="38"/>
    </row>
    <row r="279" spans="2:39" ht="14.25" hidden="1" customHeight="1" outlineLevel="1" x14ac:dyDescent="0.25">
      <c r="B279" s="1466"/>
      <c r="C279" s="1467"/>
      <c r="D279" s="1467"/>
      <c r="E279" s="1467"/>
      <c r="F279" s="1467"/>
      <c r="G279" s="1467"/>
      <c r="H279" s="1467"/>
      <c r="I279" s="1475"/>
      <c r="J279" s="1502"/>
      <c r="K279" s="1505"/>
      <c r="L279" s="1471"/>
      <c r="M279" s="1472"/>
      <c r="N279" s="1473"/>
      <c r="O279" s="38"/>
      <c r="P279" s="44"/>
      <c r="Q279" s="298"/>
      <c r="R279" s="298"/>
      <c r="S279" s="298"/>
      <c r="T279" s="298"/>
      <c r="U279" s="298"/>
      <c r="V279" s="298"/>
      <c r="W279" s="298"/>
      <c r="X279" s="629"/>
      <c r="AD279" s="38"/>
      <c r="AE279" s="38"/>
      <c r="AF279" s="38"/>
      <c r="AG279" s="38"/>
      <c r="AH279" s="38"/>
      <c r="AI279" s="38"/>
      <c r="AJ279" s="38"/>
      <c r="AK279" s="38"/>
      <c r="AL279" s="38"/>
      <c r="AM279" s="38"/>
    </row>
    <row r="280" spans="2:39" ht="14.25" hidden="1" customHeight="1" outlineLevel="1" x14ac:dyDescent="0.25">
      <c r="B280" s="1466" t="s">
        <v>603</v>
      </c>
      <c r="C280" s="1467"/>
      <c r="D280" s="1467"/>
      <c r="E280" s="1467"/>
      <c r="F280" s="1467"/>
      <c r="G280" s="1467"/>
      <c r="H280" s="1467"/>
      <c r="I280" s="1474" t="s">
        <v>107</v>
      </c>
      <c r="J280" s="1513"/>
      <c r="K280" s="1365"/>
      <c r="L280" s="1471">
        <f t="shared" ref="L280" si="116">J280*K280</f>
        <v>0</v>
      </c>
      <c r="M280" s="1472" t="str">
        <f>IFERROR(IF((VLOOKUP(N280,Überblick!$M$124:$N$132,2))="ja","ja","nein"),"")</f>
        <v/>
      </c>
      <c r="N280" s="1473"/>
      <c r="O280" s="38">
        <f t="shared" si="107"/>
        <v>0</v>
      </c>
      <c r="P280" s="44">
        <f t="shared" si="110"/>
        <v>0</v>
      </c>
      <c r="Q280" s="38">
        <f>IF(AND(N280&lt;1,I280="ja"),1,0)</f>
        <v>0</v>
      </c>
      <c r="R280" s="298"/>
      <c r="S280" s="298"/>
      <c r="T280" s="298"/>
      <c r="U280" s="298"/>
      <c r="V280" s="298"/>
      <c r="W280" s="298"/>
      <c r="X280" s="629"/>
      <c r="AD280" s="38"/>
      <c r="AE280" s="38"/>
      <c r="AF280" s="38"/>
      <c r="AG280" s="38"/>
      <c r="AH280" s="38"/>
      <c r="AI280" s="38"/>
      <c r="AJ280" s="38"/>
      <c r="AK280" s="38"/>
      <c r="AL280" s="38"/>
      <c r="AM280" s="38"/>
    </row>
    <row r="281" spans="2:39" ht="14.25" hidden="1" customHeight="1" outlineLevel="1" x14ac:dyDescent="0.25">
      <c r="B281" s="1466"/>
      <c r="C281" s="1467"/>
      <c r="D281" s="1467"/>
      <c r="E281" s="1467"/>
      <c r="F281" s="1467"/>
      <c r="G281" s="1467"/>
      <c r="H281" s="1467"/>
      <c r="I281" s="1475"/>
      <c r="J281" s="1503"/>
      <c r="K281" s="1419"/>
      <c r="L281" s="1471"/>
      <c r="M281" s="1472"/>
      <c r="N281" s="1473"/>
      <c r="O281" s="38"/>
      <c r="P281" s="44"/>
      <c r="Q281" s="38"/>
      <c r="R281" s="298"/>
      <c r="S281" s="298"/>
      <c r="T281" s="298"/>
      <c r="U281" s="298"/>
      <c r="V281" s="298"/>
      <c r="W281" s="298"/>
      <c r="X281" s="629"/>
      <c r="AD281" s="38"/>
      <c r="AE281" s="38"/>
      <c r="AF281" s="38"/>
      <c r="AG281" s="38"/>
      <c r="AH281" s="38"/>
      <c r="AI281" s="38"/>
      <c r="AJ281" s="38"/>
      <c r="AK281" s="38"/>
      <c r="AL281" s="38"/>
      <c r="AM281" s="38"/>
    </row>
    <row r="282" spans="2:39" ht="14.25" hidden="1" customHeight="1" outlineLevel="1" x14ac:dyDescent="0.25">
      <c r="B282" s="1466" t="s">
        <v>604</v>
      </c>
      <c r="C282" s="1467"/>
      <c r="D282" s="1467"/>
      <c r="E282" s="1467"/>
      <c r="F282" s="1467"/>
      <c r="G282" s="1467"/>
      <c r="H282" s="1467"/>
      <c r="I282" s="1474" t="s">
        <v>107</v>
      </c>
      <c r="J282" s="1513"/>
      <c r="K282" s="1365"/>
      <c r="L282" s="1471">
        <f t="shared" ref="L282" si="117">J282*K282</f>
        <v>0</v>
      </c>
      <c r="M282" s="1472" t="str">
        <f>IFERROR(IF((VLOOKUP(N282,Überblick!$M$124:$N$132,2))="ja","ja","nein"),"")</f>
        <v/>
      </c>
      <c r="N282" s="1473"/>
      <c r="O282" s="38">
        <f t="shared" si="107"/>
        <v>0</v>
      </c>
      <c r="P282" s="44">
        <f t="shared" si="110"/>
        <v>0</v>
      </c>
      <c r="Q282" s="38">
        <f>IF(AND(N282&lt;1,I282="ja"),1,0)</f>
        <v>0</v>
      </c>
      <c r="R282" s="298"/>
      <c r="S282" s="298"/>
      <c r="T282" s="298"/>
      <c r="U282" s="298"/>
      <c r="V282" s="298"/>
      <c r="W282" s="298"/>
      <c r="X282" s="629"/>
      <c r="AD282" s="38"/>
      <c r="AE282" s="38"/>
      <c r="AF282" s="38"/>
      <c r="AG282" s="38"/>
      <c r="AH282" s="38"/>
      <c r="AI282" s="38"/>
      <c r="AJ282" s="38"/>
      <c r="AK282" s="38"/>
      <c r="AL282" s="38"/>
      <c r="AM282" s="38"/>
    </row>
    <row r="283" spans="2:39" ht="14.25" hidden="1" customHeight="1" outlineLevel="1" x14ac:dyDescent="0.25">
      <c r="B283" s="1466"/>
      <c r="C283" s="1467"/>
      <c r="D283" s="1467"/>
      <c r="E283" s="1467"/>
      <c r="F283" s="1467"/>
      <c r="G283" s="1467"/>
      <c r="H283" s="1467"/>
      <c r="I283" s="1475"/>
      <c r="J283" s="1503"/>
      <c r="K283" s="1419"/>
      <c r="L283" s="1471"/>
      <c r="M283" s="1472"/>
      <c r="N283" s="1473"/>
      <c r="O283" s="38"/>
      <c r="P283" s="44"/>
      <c r="Q283" s="298"/>
      <c r="R283" s="298"/>
      <c r="S283" s="298"/>
      <c r="T283" s="298"/>
      <c r="U283" s="298"/>
      <c r="V283" s="298"/>
      <c r="W283" s="298"/>
      <c r="X283" s="629"/>
      <c r="AD283" s="38"/>
      <c r="AE283" s="38"/>
      <c r="AF283" s="38"/>
      <c r="AG283" s="38"/>
      <c r="AH283" s="38"/>
      <c r="AI283" s="38"/>
      <c r="AJ283" s="38"/>
      <c r="AK283" s="38"/>
      <c r="AL283" s="38"/>
      <c r="AM283" s="38"/>
    </row>
    <row r="284" spans="2:39" ht="14.25" hidden="1" customHeight="1" outlineLevel="1" x14ac:dyDescent="0.25">
      <c r="B284" s="1466" t="s">
        <v>605</v>
      </c>
      <c r="C284" s="1467"/>
      <c r="D284" s="1467"/>
      <c r="E284" s="1467"/>
      <c r="F284" s="1467"/>
      <c r="G284" s="1467"/>
      <c r="H284" s="1467"/>
      <c r="I284" s="1474" t="s">
        <v>107</v>
      </c>
      <c r="J284" s="1470"/>
      <c r="K284" s="1352"/>
      <c r="L284" s="1471">
        <f t="shared" ref="L284" si="118">J284*K284</f>
        <v>0</v>
      </c>
      <c r="M284" s="1472" t="str">
        <f>IFERROR(IF((VLOOKUP(N284,Überblick!$M$124:$N$132,2))="ja","ja","nein"),"")</f>
        <v/>
      </c>
      <c r="N284" s="1473"/>
      <c r="O284" s="38">
        <f t="shared" si="107"/>
        <v>0</v>
      </c>
      <c r="P284" s="44">
        <f t="shared" si="110"/>
        <v>0</v>
      </c>
      <c r="Q284" s="38">
        <f>IF(AND(N284&lt;1,I284="ja"),1,0)</f>
        <v>0</v>
      </c>
      <c r="R284" s="298"/>
      <c r="S284" s="298"/>
      <c r="T284" s="298"/>
      <c r="U284" s="298"/>
      <c r="V284" s="298"/>
      <c r="W284" s="298"/>
      <c r="X284" s="629"/>
      <c r="AD284" s="38"/>
      <c r="AE284" s="38"/>
      <c r="AF284" s="38"/>
      <c r="AG284" s="38"/>
      <c r="AH284" s="38"/>
      <c r="AI284" s="38"/>
      <c r="AJ284" s="38"/>
      <c r="AK284" s="38"/>
      <c r="AL284" s="38"/>
      <c r="AM284" s="38"/>
    </row>
    <row r="285" spans="2:39" ht="14.25" hidden="1" customHeight="1" outlineLevel="1" x14ac:dyDescent="0.25">
      <c r="B285" s="1466"/>
      <c r="C285" s="1467"/>
      <c r="D285" s="1467"/>
      <c r="E285" s="1467"/>
      <c r="F285" s="1467"/>
      <c r="G285" s="1467"/>
      <c r="H285" s="1467"/>
      <c r="I285" s="1475"/>
      <c r="J285" s="1470"/>
      <c r="K285" s="1352"/>
      <c r="L285" s="1471"/>
      <c r="M285" s="1472"/>
      <c r="N285" s="1473"/>
      <c r="O285" s="38"/>
      <c r="P285" s="44"/>
      <c r="Q285" s="298"/>
      <c r="R285" s="298"/>
      <c r="S285" s="298"/>
      <c r="T285" s="298"/>
      <c r="U285" s="298"/>
      <c r="V285" s="298"/>
      <c r="W285" s="298"/>
      <c r="X285" s="629"/>
      <c r="AD285" s="38"/>
      <c r="AE285" s="38"/>
      <c r="AF285" s="38"/>
      <c r="AG285" s="38"/>
      <c r="AH285" s="38"/>
      <c r="AI285" s="38"/>
      <c r="AJ285" s="38"/>
      <c r="AK285" s="38"/>
      <c r="AL285" s="38"/>
      <c r="AM285" s="38"/>
    </row>
    <row r="286" spans="2:39" ht="14.25" hidden="1" customHeight="1" outlineLevel="1" x14ac:dyDescent="0.25">
      <c r="B286" s="1466" t="s">
        <v>606</v>
      </c>
      <c r="C286" s="1467"/>
      <c r="D286" s="1467"/>
      <c r="E286" s="1467"/>
      <c r="F286" s="1467"/>
      <c r="G286" s="1467"/>
      <c r="H286" s="1467"/>
      <c r="I286" s="1474" t="s">
        <v>107</v>
      </c>
      <c r="J286" s="1470"/>
      <c r="K286" s="1352"/>
      <c r="L286" s="1471">
        <f t="shared" ref="L286" si="119">J286*K286</f>
        <v>0</v>
      </c>
      <c r="M286" s="1472" t="str">
        <f>IFERROR(IF((VLOOKUP(N286,Überblick!$M$124:$N$132,2))="ja","ja","nein"),"")</f>
        <v/>
      </c>
      <c r="N286" s="1473"/>
      <c r="O286" s="38">
        <f t="shared" si="107"/>
        <v>0</v>
      </c>
      <c r="P286" s="44">
        <f t="shared" si="110"/>
        <v>0</v>
      </c>
      <c r="Q286" s="38">
        <f>IF(AND(N286&lt;1,I286="ja"),1,0)</f>
        <v>0</v>
      </c>
      <c r="R286" s="298"/>
      <c r="S286" s="298"/>
      <c r="T286" s="298"/>
      <c r="U286" s="298"/>
      <c r="V286" s="298"/>
      <c r="W286" s="298"/>
      <c r="X286" s="629"/>
      <c r="AD286" s="38"/>
      <c r="AE286" s="38"/>
      <c r="AF286" s="38"/>
      <c r="AG286" s="38"/>
      <c r="AH286" s="38"/>
      <c r="AI286" s="38"/>
      <c r="AJ286" s="38"/>
      <c r="AK286" s="38"/>
      <c r="AL286" s="38"/>
      <c r="AM286" s="38"/>
    </row>
    <row r="287" spans="2:39" ht="14.25" hidden="1" customHeight="1" outlineLevel="1" x14ac:dyDescent="0.25">
      <c r="B287" s="1466"/>
      <c r="C287" s="1467"/>
      <c r="D287" s="1467"/>
      <c r="E287" s="1467"/>
      <c r="F287" s="1467"/>
      <c r="G287" s="1467"/>
      <c r="H287" s="1467"/>
      <c r="I287" s="1475"/>
      <c r="J287" s="1470"/>
      <c r="K287" s="1352"/>
      <c r="L287" s="1471"/>
      <c r="M287" s="1472"/>
      <c r="N287" s="1473"/>
      <c r="O287" s="38"/>
      <c r="P287" s="44"/>
      <c r="Q287" s="38"/>
      <c r="R287" s="298"/>
      <c r="S287" s="298"/>
      <c r="T287" s="298"/>
      <c r="U287" s="298"/>
      <c r="V287" s="298"/>
      <c r="W287" s="298"/>
      <c r="X287" s="629"/>
      <c r="AD287" s="38"/>
      <c r="AE287" s="38"/>
      <c r="AF287" s="38"/>
      <c r="AG287" s="38"/>
      <c r="AH287" s="38"/>
      <c r="AI287" s="38"/>
      <c r="AJ287" s="38"/>
      <c r="AK287" s="38"/>
      <c r="AL287" s="38"/>
      <c r="AM287" s="38"/>
    </row>
    <row r="288" spans="2:39" ht="14.25" hidden="1" customHeight="1" outlineLevel="1" x14ac:dyDescent="0.25">
      <c r="B288" s="1466" t="s">
        <v>607</v>
      </c>
      <c r="C288" s="1467"/>
      <c r="D288" s="1467"/>
      <c r="E288" s="1467"/>
      <c r="F288" s="1467"/>
      <c r="G288" s="1467"/>
      <c r="H288" s="1467"/>
      <c r="I288" s="1474" t="s">
        <v>107</v>
      </c>
      <c r="J288" s="1470"/>
      <c r="K288" s="1352"/>
      <c r="L288" s="1471">
        <f t="shared" ref="L288" si="120">J288*K288</f>
        <v>0</v>
      </c>
      <c r="M288" s="1472" t="str">
        <f>IFERROR(IF((VLOOKUP(N288,Überblick!$M$124:$N$132,2))="ja","ja","nein"),"")</f>
        <v/>
      </c>
      <c r="N288" s="1473"/>
      <c r="O288" s="38">
        <f t="shared" si="107"/>
        <v>0</v>
      </c>
      <c r="P288" s="44">
        <f t="shared" si="110"/>
        <v>0</v>
      </c>
      <c r="Q288" s="38">
        <f>IF(AND(N288&lt;1,I288="ja"),1,0)</f>
        <v>0</v>
      </c>
      <c r="R288" s="298"/>
      <c r="S288" s="298"/>
      <c r="T288" s="298"/>
      <c r="U288" s="298"/>
      <c r="V288" s="298"/>
      <c r="W288" s="298"/>
      <c r="X288" s="629"/>
      <c r="AD288" s="38"/>
      <c r="AE288" s="38"/>
      <c r="AF288" s="38"/>
      <c r="AG288" s="38"/>
      <c r="AH288" s="38"/>
      <c r="AI288" s="38"/>
      <c r="AJ288" s="38"/>
      <c r="AK288" s="38"/>
      <c r="AL288" s="38"/>
      <c r="AM288" s="38"/>
    </row>
    <row r="289" spans="2:39" ht="14.25" hidden="1" customHeight="1" outlineLevel="1" x14ac:dyDescent="0.25">
      <c r="B289" s="1466"/>
      <c r="C289" s="1467"/>
      <c r="D289" s="1467"/>
      <c r="E289" s="1467"/>
      <c r="F289" s="1467"/>
      <c r="G289" s="1467"/>
      <c r="H289" s="1467"/>
      <c r="I289" s="1475"/>
      <c r="J289" s="1470"/>
      <c r="K289" s="1352"/>
      <c r="L289" s="1471"/>
      <c r="M289" s="1472"/>
      <c r="N289" s="1473"/>
      <c r="O289" s="38"/>
      <c r="P289" s="44"/>
      <c r="Q289" s="298"/>
      <c r="R289" s="298"/>
      <c r="S289" s="298"/>
      <c r="T289" s="298"/>
      <c r="U289" s="298"/>
      <c r="V289" s="298"/>
      <c r="W289" s="298"/>
      <c r="X289" s="629"/>
      <c r="AD289" s="38"/>
      <c r="AE289" s="38"/>
      <c r="AF289" s="38"/>
      <c r="AG289" s="38"/>
      <c r="AH289" s="38"/>
      <c r="AI289" s="38"/>
      <c r="AJ289" s="38"/>
      <c r="AK289" s="38"/>
      <c r="AL289" s="38"/>
      <c r="AM289" s="38"/>
    </row>
    <row r="290" spans="2:39" ht="14.25" hidden="1" customHeight="1" outlineLevel="1" x14ac:dyDescent="0.25">
      <c r="B290" s="1466" t="s">
        <v>608</v>
      </c>
      <c r="C290" s="1467"/>
      <c r="D290" s="1467"/>
      <c r="E290" s="1467"/>
      <c r="F290" s="1467"/>
      <c r="G290" s="1467"/>
      <c r="H290" s="1467"/>
      <c r="I290" s="1474" t="s">
        <v>107</v>
      </c>
      <c r="J290" s="1470"/>
      <c r="K290" s="1352"/>
      <c r="L290" s="1471">
        <f t="shared" ref="L290" si="121">J290*K290</f>
        <v>0</v>
      </c>
      <c r="M290" s="1472" t="str">
        <f>IFERROR(IF((VLOOKUP(N290,Überblick!$M$124:$N$132,2))="ja","ja","nein"),"")</f>
        <v/>
      </c>
      <c r="N290" s="1473"/>
      <c r="O290" s="38">
        <f t="shared" si="107"/>
        <v>0</v>
      </c>
      <c r="P290" s="44">
        <f t="shared" si="110"/>
        <v>0</v>
      </c>
      <c r="Q290" s="38">
        <f>IF(AND(N290&lt;1,I290="ja"),1,0)</f>
        <v>0</v>
      </c>
      <c r="R290" s="298"/>
      <c r="S290" s="298"/>
      <c r="T290" s="298"/>
      <c r="U290" s="298"/>
      <c r="V290" s="298"/>
      <c r="W290" s="298"/>
      <c r="X290" s="629"/>
      <c r="AD290" s="38"/>
      <c r="AE290" s="38"/>
      <c r="AF290" s="38"/>
      <c r="AG290" s="38"/>
      <c r="AH290" s="38"/>
      <c r="AI290" s="38"/>
      <c r="AJ290" s="38"/>
      <c r="AK290" s="38"/>
      <c r="AL290" s="38"/>
      <c r="AM290" s="38"/>
    </row>
    <row r="291" spans="2:39" ht="14.25" hidden="1" customHeight="1" outlineLevel="1" x14ac:dyDescent="0.25">
      <c r="B291" s="1466"/>
      <c r="C291" s="1467"/>
      <c r="D291" s="1467"/>
      <c r="E291" s="1467"/>
      <c r="F291" s="1467"/>
      <c r="G291" s="1467"/>
      <c r="H291" s="1467"/>
      <c r="I291" s="1475"/>
      <c r="J291" s="1470"/>
      <c r="K291" s="1352"/>
      <c r="L291" s="1471"/>
      <c r="M291" s="1472"/>
      <c r="N291" s="1473"/>
      <c r="O291" s="38"/>
      <c r="P291" s="44"/>
      <c r="Q291" s="298"/>
      <c r="R291" s="298"/>
      <c r="S291" s="298"/>
      <c r="T291" s="298"/>
      <c r="U291" s="298"/>
      <c r="V291" s="298"/>
      <c r="W291" s="298"/>
      <c r="X291" s="629"/>
      <c r="AD291" s="38"/>
      <c r="AE291" s="38"/>
      <c r="AF291" s="38"/>
      <c r="AG291" s="38"/>
      <c r="AH291" s="38"/>
      <c r="AI291" s="38"/>
      <c r="AJ291" s="38"/>
      <c r="AK291" s="38"/>
      <c r="AL291" s="38"/>
      <c r="AM291" s="38"/>
    </row>
    <row r="292" spans="2:39" ht="14.25" hidden="1" customHeight="1" outlineLevel="1" x14ac:dyDescent="0.25">
      <c r="B292" s="1466" t="s">
        <v>609</v>
      </c>
      <c r="C292" s="1467"/>
      <c r="D292" s="1467"/>
      <c r="E292" s="1467"/>
      <c r="F292" s="1467"/>
      <c r="G292" s="1467"/>
      <c r="H292" s="1467"/>
      <c r="I292" s="1468" t="s">
        <v>107</v>
      </c>
      <c r="J292" s="1470"/>
      <c r="K292" s="1352"/>
      <c r="L292" s="1471">
        <f t="shared" ref="L292" si="122">J292*K292</f>
        <v>0</v>
      </c>
      <c r="M292" s="1472" t="str">
        <f>IFERROR(IF((VLOOKUP(N292,Überblick!$M$124:$N$132,2))="ja","ja","nein"),"")</f>
        <v/>
      </c>
      <c r="N292" s="1473"/>
      <c r="O292" s="38">
        <f t="shared" si="107"/>
        <v>0</v>
      </c>
      <c r="P292" s="44">
        <f t="shared" si="110"/>
        <v>0</v>
      </c>
      <c r="Q292" s="38">
        <f>IF(AND(N292&lt;1,I292="ja"),1,0)</f>
        <v>0</v>
      </c>
      <c r="R292" s="298"/>
      <c r="S292" s="298"/>
      <c r="T292" s="298"/>
      <c r="U292" s="298"/>
      <c r="V292" s="298"/>
      <c r="W292" s="298"/>
      <c r="X292" s="629"/>
      <c r="AD292" s="38"/>
      <c r="AE292" s="38"/>
      <c r="AF292" s="38"/>
      <c r="AG292" s="38"/>
      <c r="AH292" s="38"/>
      <c r="AI292" s="38"/>
      <c r="AJ292" s="38"/>
      <c r="AK292" s="38"/>
      <c r="AL292" s="38"/>
      <c r="AM292" s="38"/>
    </row>
    <row r="293" spans="2:39" ht="14.25" hidden="1" customHeight="1" outlineLevel="1" x14ac:dyDescent="0.25">
      <c r="B293" s="1466"/>
      <c r="C293" s="1467"/>
      <c r="D293" s="1467"/>
      <c r="E293" s="1467"/>
      <c r="F293" s="1467"/>
      <c r="G293" s="1467"/>
      <c r="H293" s="1467"/>
      <c r="I293" s="1468"/>
      <c r="J293" s="1470"/>
      <c r="K293" s="1352"/>
      <c r="L293" s="1471"/>
      <c r="M293" s="1472"/>
      <c r="N293" s="1473"/>
      <c r="O293" s="38"/>
      <c r="P293" s="44"/>
      <c r="Q293" s="298"/>
      <c r="R293" s="298"/>
      <c r="S293" s="298"/>
      <c r="T293" s="298"/>
      <c r="U293" s="298"/>
      <c r="V293" s="298"/>
      <c r="W293" s="298"/>
      <c r="X293" s="629"/>
      <c r="AD293" s="38"/>
      <c r="AE293" s="38"/>
      <c r="AF293" s="38"/>
      <c r="AG293" s="38"/>
      <c r="AH293" s="38"/>
      <c r="AI293" s="38"/>
      <c r="AJ293" s="38"/>
      <c r="AK293" s="38"/>
      <c r="AL293" s="38"/>
      <c r="AM293" s="38"/>
    </row>
    <row r="294" spans="2:39" ht="14.25" hidden="1" customHeight="1" outlineLevel="1" x14ac:dyDescent="0.25">
      <c r="B294" s="1466"/>
      <c r="C294" s="1467"/>
      <c r="D294" s="1467"/>
      <c r="E294" s="1467"/>
      <c r="F294" s="1467"/>
      <c r="G294" s="1467"/>
      <c r="H294" s="1467"/>
      <c r="I294" s="1468"/>
      <c r="J294" s="1470"/>
      <c r="K294" s="1352"/>
      <c r="L294" s="1471"/>
      <c r="M294" s="1472"/>
      <c r="N294" s="1473"/>
      <c r="O294" s="38"/>
      <c r="P294" s="44"/>
      <c r="Q294" s="298"/>
      <c r="R294" s="298"/>
      <c r="S294" s="298"/>
      <c r="T294" s="298"/>
      <c r="U294" s="298"/>
      <c r="V294" s="298"/>
      <c r="W294" s="298"/>
      <c r="X294" s="629"/>
      <c r="AD294" s="38"/>
      <c r="AE294" s="38"/>
      <c r="AF294" s="38"/>
      <c r="AG294" s="38"/>
      <c r="AH294" s="38"/>
      <c r="AI294" s="38"/>
      <c r="AJ294" s="38"/>
      <c r="AK294" s="38"/>
      <c r="AL294" s="38"/>
      <c r="AM294" s="38"/>
    </row>
    <row r="295" spans="2:39" ht="14.25" hidden="1" customHeight="1" outlineLevel="1" x14ac:dyDescent="0.25">
      <c r="B295" s="1466" t="s">
        <v>610</v>
      </c>
      <c r="C295" s="1467"/>
      <c r="D295" s="1467"/>
      <c r="E295" s="1467"/>
      <c r="F295" s="1467"/>
      <c r="G295" s="1467"/>
      <c r="H295" s="1467"/>
      <c r="I295" s="1474" t="s">
        <v>107</v>
      </c>
      <c r="J295" s="1470"/>
      <c r="K295" s="1352"/>
      <c r="L295" s="1471">
        <f t="shared" ref="L295" si="123">J295*K295</f>
        <v>0</v>
      </c>
      <c r="M295" s="1472" t="str">
        <f>IFERROR(IF((VLOOKUP(N295,Überblick!$M$124:$N$132,2))="ja","ja","nein"),"")</f>
        <v/>
      </c>
      <c r="N295" s="1473"/>
      <c r="O295" s="38">
        <f t="shared" ref="O295:O297" si="124">IF(AND(I295="ja",J295=""),1,0)</f>
        <v>0</v>
      </c>
      <c r="P295" s="44">
        <f t="shared" si="110"/>
        <v>0</v>
      </c>
      <c r="Q295" s="38">
        <f>IF(AND(N295&lt;1,I295="ja"),1,0)</f>
        <v>0</v>
      </c>
      <c r="R295" s="298"/>
      <c r="S295" s="298"/>
      <c r="T295" s="298"/>
      <c r="U295" s="298"/>
      <c r="V295" s="298"/>
      <c r="W295" s="298"/>
      <c r="X295" s="629"/>
      <c r="AD295" s="38"/>
      <c r="AE295" s="38"/>
      <c r="AF295" s="38"/>
      <c r="AG295" s="38"/>
      <c r="AH295" s="38"/>
      <c r="AI295" s="38"/>
      <c r="AJ295" s="38"/>
      <c r="AK295" s="38"/>
      <c r="AL295" s="38"/>
      <c r="AM295" s="38"/>
    </row>
    <row r="296" spans="2:39" ht="14.25" hidden="1" customHeight="1" outlineLevel="1" x14ac:dyDescent="0.25">
      <c r="B296" s="1466"/>
      <c r="C296" s="1467"/>
      <c r="D296" s="1467"/>
      <c r="E296" s="1467"/>
      <c r="F296" s="1467"/>
      <c r="G296" s="1467"/>
      <c r="H296" s="1467"/>
      <c r="I296" s="1475"/>
      <c r="J296" s="1470"/>
      <c r="K296" s="1352"/>
      <c r="L296" s="1471"/>
      <c r="M296" s="1472"/>
      <c r="N296" s="1473"/>
      <c r="O296" s="38"/>
      <c r="P296" s="44"/>
      <c r="Q296" s="298"/>
      <c r="R296" s="298"/>
      <c r="S296" s="298"/>
      <c r="T296" s="298"/>
      <c r="U296" s="298"/>
      <c r="V296" s="298"/>
      <c r="W296" s="298"/>
      <c r="X296" s="629"/>
      <c r="AD296" s="38"/>
      <c r="AE296" s="38"/>
      <c r="AF296" s="38"/>
      <c r="AG296" s="38"/>
      <c r="AH296" s="38"/>
      <c r="AI296" s="38"/>
      <c r="AJ296" s="38"/>
      <c r="AK296" s="38"/>
      <c r="AL296" s="38"/>
      <c r="AM296" s="38"/>
    </row>
    <row r="297" spans="2:39" ht="14.25" hidden="1" customHeight="1" outlineLevel="1" x14ac:dyDescent="0.25">
      <c r="B297" s="1466" t="s">
        <v>611</v>
      </c>
      <c r="C297" s="1467"/>
      <c r="D297" s="1467"/>
      <c r="E297" s="1467"/>
      <c r="F297" s="1467"/>
      <c r="G297" s="1467"/>
      <c r="H297" s="1467"/>
      <c r="I297" s="1468" t="s">
        <v>107</v>
      </c>
      <c r="J297" s="1470"/>
      <c r="K297" s="1352"/>
      <c r="L297" s="1471">
        <f t="shared" ref="L297" si="125">J297*K297</f>
        <v>0</v>
      </c>
      <c r="M297" s="1472" t="str">
        <f>IFERROR(IF((VLOOKUP(N297,Überblick!$M$124:$N$132,2))="ja","ja","nein"),"")</f>
        <v/>
      </c>
      <c r="N297" s="1473"/>
      <c r="O297" s="38">
        <f t="shared" si="124"/>
        <v>0</v>
      </c>
      <c r="P297" s="44">
        <f t="shared" si="110"/>
        <v>0</v>
      </c>
      <c r="Q297" s="38">
        <f>IF(AND(N297&lt;1,I297="ja"),1,0)</f>
        <v>0</v>
      </c>
      <c r="R297" s="298"/>
      <c r="S297" s="298"/>
      <c r="T297" s="298"/>
      <c r="U297" s="298"/>
      <c r="V297" s="298"/>
      <c r="W297" s="298"/>
      <c r="X297" s="629"/>
      <c r="AD297" s="38"/>
      <c r="AE297" s="38"/>
      <c r="AF297" s="38"/>
      <c r="AG297" s="38"/>
      <c r="AH297" s="38"/>
      <c r="AI297" s="38"/>
      <c r="AJ297" s="38"/>
      <c r="AK297" s="38"/>
      <c r="AL297" s="38"/>
      <c r="AM297" s="38"/>
    </row>
    <row r="298" spans="2:39" ht="14.25" hidden="1" customHeight="1" outlineLevel="1" x14ac:dyDescent="0.25">
      <c r="B298" s="1466"/>
      <c r="C298" s="1467"/>
      <c r="D298" s="1467"/>
      <c r="E298" s="1467"/>
      <c r="F298" s="1467"/>
      <c r="G298" s="1467"/>
      <c r="H298" s="1467"/>
      <c r="I298" s="1468"/>
      <c r="J298" s="1470"/>
      <c r="K298" s="1352"/>
      <c r="L298" s="1471"/>
      <c r="M298" s="1472"/>
      <c r="N298" s="1473"/>
      <c r="O298" s="38"/>
      <c r="P298" s="44"/>
      <c r="Q298" s="298"/>
      <c r="R298" s="298"/>
      <c r="S298" s="298"/>
      <c r="T298" s="298"/>
      <c r="U298" s="298"/>
      <c r="V298" s="298"/>
      <c r="W298" s="298"/>
      <c r="X298" s="629"/>
      <c r="AD298" s="38"/>
      <c r="AE298" s="38"/>
      <c r="AF298" s="38"/>
      <c r="AG298" s="38"/>
      <c r="AH298" s="38"/>
      <c r="AI298" s="38"/>
      <c r="AJ298" s="38"/>
      <c r="AK298" s="38"/>
      <c r="AL298" s="38"/>
      <c r="AM298" s="38"/>
    </row>
    <row r="299" spans="2:39" ht="14.25" hidden="1" customHeight="1" outlineLevel="1" x14ac:dyDescent="0.25">
      <c r="B299" s="1466"/>
      <c r="C299" s="1467"/>
      <c r="D299" s="1467"/>
      <c r="E299" s="1467"/>
      <c r="F299" s="1467"/>
      <c r="G299" s="1467"/>
      <c r="H299" s="1467"/>
      <c r="I299" s="1468"/>
      <c r="J299" s="1470"/>
      <c r="K299" s="1352"/>
      <c r="L299" s="1471"/>
      <c r="M299" s="1472"/>
      <c r="N299" s="1473"/>
      <c r="O299" s="38"/>
      <c r="P299" s="44"/>
      <c r="Q299" s="298"/>
      <c r="R299" s="298"/>
      <c r="S299" s="298"/>
      <c r="T299" s="298"/>
      <c r="U299" s="298"/>
      <c r="V299" s="298"/>
      <c r="W299" s="298"/>
      <c r="X299" s="629"/>
      <c r="AD299" s="38"/>
      <c r="AE299" s="38"/>
      <c r="AF299" s="38"/>
      <c r="AG299" s="38"/>
      <c r="AH299" s="38"/>
      <c r="AI299" s="38"/>
      <c r="AJ299" s="38"/>
      <c r="AK299" s="38"/>
      <c r="AL299" s="38"/>
      <c r="AM299" s="38"/>
    </row>
    <row r="300" spans="2:39" ht="14.25" hidden="1" customHeight="1" outlineLevel="1" x14ac:dyDescent="0.25">
      <c r="B300" s="1466" t="s">
        <v>612</v>
      </c>
      <c r="C300" s="1467"/>
      <c r="D300" s="1467"/>
      <c r="E300" s="1467"/>
      <c r="F300" s="1467"/>
      <c r="G300" s="1467"/>
      <c r="H300" s="1467"/>
      <c r="I300" s="1474" t="s">
        <v>107</v>
      </c>
      <c r="J300" s="1470"/>
      <c r="K300" s="1352"/>
      <c r="L300" s="1471">
        <f t="shared" ref="L300" si="126">J300*K300</f>
        <v>0</v>
      </c>
      <c r="M300" s="1472" t="str">
        <f>IFERROR(IF((VLOOKUP(N300,Überblick!$M$124:$N$132,2))="ja","ja","nein"),"")</f>
        <v/>
      </c>
      <c r="N300" s="1473"/>
      <c r="O300" s="38">
        <f t="shared" ref="O300:O330" si="127">IF(AND(I300="ja",J300=""),1,0)</f>
        <v>0</v>
      </c>
      <c r="P300" s="44">
        <f t="shared" si="110"/>
        <v>0</v>
      </c>
      <c r="Q300" s="38">
        <f>IF(AND(N300&lt;1,I300="ja"),1,0)</f>
        <v>0</v>
      </c>
      <c r="R300" s="298"/>
      <c r="S300" s="298"/>
      <c r="T300" s="298"/>
      <c r="U300" s="298"/>
      <c r="V300" s="298"/>
      <c r="W300" s="298"/>
      <c r="X300" s="629"/>
      <c r="AD300" s="38"/>
      <c r="AE300" s="38"/>
      <c r="AF300" s="38"/>
      <c r="AG300" s="38"/>
      <c r="AH300" s="38"/>
      <c r="AI300" s="38"/>
      <c r="AJ300" s="38"/>
      <c r="AK300" s="38"/>
      <c r="AL300" s="38"/>
      <c r="AM300" s="38"/>
    </row>
    <row r="301" spans="2:39" ht="14.25" hidden="1" customHeight="1" outlineLevel="1" x14ac:dyDescent="0.25">
      <c r="B301" s="1466"/>
      <c r="C301" s="1467"/>
      <c r="D301" s="1467"/>
      <c r="E301" s="1467"/>
      <c r="F301" s="1467"/>
      <c r="G301" s="1467"/>
      <c r="H301" s="1467"/>
      <c r="I301" s="1475"/>
      <c r="J301" s="1470"/>
      <c r="K301" s="1352"/>
      <c r="L301" s="1471"/>
      <c r="M301" s="1472"/>
      <c r="N301" s="1473"/>
      <c r="O301" s="38"/>
      <c r="P301" s="44"/>
      <c r="Q301" s="298"/>
      <c r="R301" s="298"/>
      <c r="S301" s="298"/>
      <c r="T301" s="298"/>
      <c r="U301" s="298"/>
      <c r="V301" s="298"/>
      <c r="W301" s="298"/>
      <c r="X301" s="629"/>
      <c r="AD301" s="38"/>
      <c r="AE301" s="38"/>
      <c r="AF301" s="38"/>
      <c r="AG301" s="38"/>
      <c r="AH301" s="38"/>
      <c r="AI301" s="38"/>
      <c r="AJ301" s="38"/>
      <c r="AK301" s="38"/>
      <c r="AL301" s="38"/>
      <c r="AM301" s="38"/>
    </row>
    <row r="302" spans="2:39" ht="14.25" hidden="1" customHeight="1" outlineLevel="1" x14ac:dyDescent="0.25">
      <c r="B302" s="1466" t="s">
        <v>613</v>
      </c>
      <c r="C302" s="1467"/>
      <c r="D302" s="1467"/>
      <c r="E302" s="1467"/>
      <c r="F302" s="1467"/>
      <c r="G302" s="1467"/>
      <c r="H302" s="1467"/>
      <c r="I302" s="1474" t="s">
        <v>107</v>
      </c>
      <c r="J302" s="1470"/>
      <c r="K302" s="1352"/>
      <c r="L302" s="1471">
        <f t="shared" ref="L302" si="128">J302*K302</f>
        <v>0</v>
      </c>
      <c r="M302" s="1472" t="str">
        <f>IFERROR(IF((VLOOKUP(N302,Überblick!$M$124:$N$132,2))="ja","ja","nein"),"")</f>
        <v/>
      </c>
      <c r="N302" s="1473"/>
      <c r="O302" s="38">
        <f t="shared" si="127"/>
        <v>0</v>
      </c>
      <c r="P302" s="44">
        <f t="shared" si="110"/>
        <v>0</v>
      </c>
      <c r="Q302" s="38">
        <f>IF(AND(N302&lt;1,I302="ja"),1,0)</f>
        <v>0</v>
      </c>
      <c r="R302" s="298"/>
      <c r="S302" s="298"/>
      <c r="T302" s="298"/>
      <c r="U302" s="298"/>
      <c r="V302" s="298"/>
      <c r="W302" s="298"/>
      <c r="X302" s="629"/>
      <c r="AD302" s="38"/>
      <c r="AE302" s="38"/>
      <c r="AF302" s="38"/>
      <c r="AG302" s="38"/>
      <c r="AH302" s="38"/>
      <c r="AI302" s="38"/>
      <c r="AJ302" s="38"/>
      <c r="AK302" s="38"/>
      <c r="AL302" s="38"/>
      <c r="AM302" s="38"/>
    </row>
    <row r="303" spans="2:39" ht="14.25" hidden="1" customHeight="1" outlineLevel="1" x14ac:dyDescent="0.25">
      <c r="B303" s="1466"/>
      <c r="C303" s="1467"/>
      <c r="D303" s="1467"/>
      <c r="E303" s="1467"/>
      <c r="F303" s="1467"/>
      <c r="G303" s="1467"/>
      <c r="H303" s="1467"/>
      <c r="I303" s="1475"/>
      <c r="J303" s="1470"/>
      <c r="K303" s="1352"/>
      <c r="L303" s="1471"/>
      <c r="M303" s="1472"/>
      <c r="N303" s="1473"/>
      <c r="O303" s="38"/>
      <c r="P303" s="44"/>
      <c r="Q303" s="298"/>
      <c r="R303" s="298"/>
      <c r="S303" s="298"/>
      <c r="T303" s="298"/>
      <c r="U303" s="298"/>
      <c r="V303" s="298"/>
      <c r="W303" s="298"/>
      <c r="X303" s="629"/>
      <c r="AD303" s="38"/>
      <c r="AE303" s="38"/>
      <c r="AF303" s="38"/>
      <c r="AG303" s="38"/>
      <c r="AH303" s="38"/>
      <c r="AI303" s="38"/>
      <c r="AJ303" s="38"/>
      <c r="AK303" s="38"/>
      <c r="AL303" s="38"/>
      <c r="AM303" s="38"/>
    </row>
    <row r="304" spans="2:39" ht="14.25" hidden="1" customHeight="1" outlineLevel="1" x14ac:dyDescent="0.25">
      <c r="B304" s="1466" t="s">
        <v>614</v>
      </c>
      <c r="C304" s="1467"/>
      <c r="D304" s="1467"/>
      <c r="E304" s="1467"/>
      <c r="F304" s="1467"/>
      <c r="G304" s="1467"/>
      <c r="H304" s="1467"/>
      <c r="I304" s="1474" t="s">
        <v>107</v>
      </c>
      <c r="J304" s="1470"/>
      <c r="K304" s="1352"/>
      <c r="L304" s="1471">
        <f t="shared" ref="L304" si="129">J304*K304</f>
        <v>0</v>
      </c>
      <c r="M304" s="1472" t="str">
        <f>IFERROR(IF((VLOOKUP(N304,Überblick!$M$124:$N$132,2))="ja","ja","nein"),"")</f>
        <v/>
      </c>
      <c r="N304" s="1473"/>
      <c r="O304" s="38">
        <f t="shared" si="127"/>
        <v>0</v>
      </c>
      <c r="P304" s="44">
        <f t="shared" si="110"/>
        <v>0</v>
      </c>
      <c r="Q304" s="38">
        <f>IF(AND(N304&lt;1,I304="ja"),1,0)</f>
        <v>0</v>
      </c>
      <c r="R304" s="298"/>
      <c r="S304" s="298"/>
      <c r="T304" s="298"/>
      <c r="U304" s="298"/>
      <c r="V304" s="298"/>
      <c r="W304" s="298"/>
      <c r="X304" s="629"/>
      <c r="AD304" s="38"/>
      <c r="AE304" s="38"/>
      <c r="AF304" s="38"/>
      <c r="AG304" s="38"/>
      <c r="AH304" s="38"/>
      <c r="AI304" s="38"/>
      <c r="AJ304" s="38"/>
      <c r="AK304" s="38"/>
      <c r="AL304" s="38"/>
      <c r="AM304" s="38"/>
    </row>
    <row r="305" spans="2:39" ht="14.25" hidden="1" customHeight="1" outlineLevel="1" x14ac:dyDescent="0.25">
      <c r="B305" s="1466"/>
      <c r="C305" s="1467"/>
      <c r="D305" s="1467"/>
      <c r="E305" s="1467"/>
      <c r="F305" s="1467"/>
      <c r="G305" s="1467"/>
      <c r="H305" s="1467"/>
      <c r="I305" s="1475"/>
      <c r="J305" s="1470"/>
      <c r="K305" s="1352"/>
      <c r="L305" s="1471"/>
      <c r="M305" s="1472"/>
      <c r="N305" s="1473"/>
      <c r="O305" s="38"/>
      <c r="P305" s="44"/>
      <c r="Q305" s="298"/>
      <c r="R305" s="298"/>
      <c r="S305" s="298"/>
      <c r="T305" s="298"/>
      <c r="U305" s="298"/>
      <c r="V305" s="298"/>
      <c r="W305" s="298"/>
      <c r="X305" s="629"/>
      <c r="AD305" s="38"/>
      <c r="AE305" s="38"/>
      <c r="AF305" s="38"/>
      <c r="AG305" s="38"/>
      <c r="AH305" s="38"/>
      <c r="AI305" s="38"/>
      <c r="AJ305" s="38"/>
      <c r="AK305" s="38"/>
      <c r="AL305" s="38"/>
      <c r="AM305" s="38"/>
    </row>
    <row r="306" spans="2:39" ht="14.25" hidden="1" customHeight="1" outlineLevel="1" x14ac:dyDescent="0.25">
      <c r="B306" s="1466" t="s">
        <v>615</v>
      </c>
      <c r="C306" s="1467"/>
      <c r="D306" s="1467"/>
      <c r="E306" s="1467"/>
      <c r="F306" s="1467"/>
      <c r="G306" s="1467"/>
      <c r="H306" s="1467"/>
      <c r="I306" s="1474" t="s">
        <v>107</v>
      </c>
      <c r="J306" s="1470"/>
      <c r="K306" s="1352"/>
      <c r="L306" s="1471">
        <f t="shared" ref="L306" si="130">J306*K306</f>
        <v>0</v>
      </c>
      <c r="M306" s="1472" t="str">
        <f>IFERROR(IF((VLOOKUP(N306,Überblick!$M$124:$N$132,2))="ja","ja","nein"),"")</f>
        <v/>
      </c>
      <c r="N306" s="1473"/>
      <c r="O306" s="38">
        <f t="shared" si="127"/>
        <v>0</v>
      </c>
      <c r="P306" s="44">
        <f t="shared" si="110"/>
        <v>0</v>
      </c>
      <c r="Q306" s="38">
        <f>IF(AND(N306&lt;1,I306="ja"),1,0)</f>
        <v>0</v>
      </c>
      <c r="R306" s="298"/>
      <c r="S306" s="298"/>
      <c r="T306" s="298"/>
      <c r="U306" s="298"/>
      <c r="V306" s="298"/>
      <c r="W306" s="298"/>
      <c r="X306" s="629"/>
      <c r="AD306" s="38"/>
      <c r="AE306" s="38"/>
      <c r="AF306" s="38"/>
      <c r="AG306" s="38"/>
      <c r="AH306" s="38"/>
      <c r="AI306" s="38"/>
      <c r="AJ306" s="38"/>
      <c r="AK306" s="38"/>
      <c r="AL306" s="38"/>
      <c r="AM306" s="38"/>
    </row>
    <row r="307" spans="2:39" ht="14.25" hidden="1" customHeight="1" outlineLevel="1" x14ac:dyDescent="0.25">
      <c r="B307" s="1466"/>
      <c r="C307" s="1467"/>
      <c r="D307" s="1467"/>
      <c r="E307" s="1467"/>
      <c r="F307" s="1467"/>
      <c r="G307" s="1467"/>
      <c r="H307" s="1467"/>
      <c r="I307" s="1475"/>
      <c r="J307" s="1470"/>
      <c r="K307" s="1352"/>
      <c r="L307" s="1471"/>
      <c r="M307" s="1472"/>
      <c r="N307" s="1473"/>
      <c r="O307" s="38"/>
      <c r="P307" s="44"/>
      <c r="Q307" s="298"/>
      <c r="R307" s="298"/>
      <c r="S307" s="298"/>
      <c r="T307" s="298"/>
      <c r="U307" s="298"/>
      <c r="V307" s="298"/>
      <c r="W307" s="298"/>
      <c r="X307" s="629"/>
      <c r="AD307" s="38"/>
      <c r="AE307" s="38"/>
      <c r="AF307" s="38"/>
      <c r="AG307" s="38"/>
      <c r="AH307" s="38"/>
      <c r="AI307" s="38"/>
      <c r="AJ307" s="38"/>
      <c r="AK307" s="38"/>
      <c r="AL307" s="38"/>
      <c r="AM307" s="38"/>
    </row>
    <row r="308" spans="2:39" ht="14.25" hidden="1" customHeight="1" outlineLevel="1" x14ac:dyDescent="0.25">
      <c r="B308" s="1466" t="s">
        <v>616</v>
      </c>
      <c r="C308" s="1467"/>
      <c r="D308" s="1467"/>
      <c r="E308" s="1467"/>
      <c r="F308" s="1467"/>
      <c r="G308" s="1467"/>
      <c r="H308" s="1467"/>
      <c r="I308" s="1474" t="s">
        <v>107</v>
      </c>
      <c r="J308" s="1470"/>
      <c r="K308" s="1352"/>
      <c r="L308" s="1471">
        <f t="shared" ref="L308" si="131">J308*K308</f>
        <v>0</v>
      </c>
      <c r="M308" s="1472" t="str">
        <f>IFERROR(IF((VLOOKUP(N308,Überblick!$M$124:$N$132,2))="ja","ja","nein"),"")</f>
        <v/>
      </c>
      <c r="N308" s="1473"/>
      <c r="O308" s="38">
        <f t="shared" si="127"/>
        <v>0</v>
      </c>
      <c r="P308" s="44">
        <f t="shared" si="110"/>
        <v>0</v>
      </c>
      <c r="Q308" s="38">
        <f>IF(AND(N308&lt;1,I308="ja"),1,0)</f>
        <v>0</v>
      </c>
      <c r="R308" s="298"/>
      <c r="S308" s="298"/>
      <c r="T308" s="298"/>
      <c r="U308" s="298"/>
      <c r="V308" s="298"/>
      <c r="W308" s="298"/>
      <c r="X308" s="629"/>
      <c r="AD308" s="38"/>
      <c r="AE308" s="38"/>
      <c r="AF308" s="38"/>
      <c r="AG308" s="38"/>
      <c r="AH308" s="38"/>
      <c r="AI308" s="38"/>
      <c r="AJ308" s="38"/>
      <c r="AK308" s="38"/>
      <c r="AL308" s="38"/>
      <c r="AM308" s="38"/>
    </row>
    <row r="309" spans="2:39" ht="14.25" hidden="1" customHeight="1" outlineLevel="1" x14ac:dyDescent="0.25">
      <c r="B309" s="1511"/>
      <c r="C309" s="1512"/>
      <c r="D309" s="1512"/>
      <c r="E309" s="1512"/>
      <c r="F309" s="1512"/>
      <c r="G309" s="1512"/>
      <c r="H309" s="1512"/>
      <c r="I309" s="1475"/>
      <c r="J309" s="1513"/>
      <c r="K309" s="1365"/>
      <c r="L309" s="1514"/>
      <c r="M309" s="1472"/>
      <c r="N309" s="1515"/>
      <c r="O309" s="38"/>
      <c r="P309" s="44"/>
      <c r="Q309" s="298"/>
      <c r="R309" s="298"/>
      <c r="S309" s="298"/>
      <c r="T309" s="298"/>
      <c r="U309" s="298"/>
      <c r="V309" s="298"/>
      <c r="W309" s="298"/>
      <c r="X309" s="629"/>
      <c r="AD309" s="38"/>
      <c r="AE309" s="38"/>
      <c r="AF309" s="38"/>
      <c r="AG309" s="38"/>
      <c r="AH309" s="38"/>
      <c r="AI309" s="38"/>
      <c r="AJ309" s="38"/>
      <c r="AK309" s="38"/>
      <c r="AL309" s="38"/>
      <c r="AM309" s="38"/>
    </row>
    <row r="310" spans="2:39" ht="14.25" hidden="1" customHeight="1" outlineLevel="1" x14ac:dyDescent="0.25">
      <c r="B310" s="1466" t="s">
        <v>617</v>
      </c>
      <c r="C310" s="1467"/>
      <c r="D310" s="1467"/>
      <c r="E310" s="1467"/>
      <c r="F310" s="1467"/>
      <c r="G310" s="1467"/>
      <c r="H310" s="1467"/>
      <c r="I310" s="1474" t="s">
        <v>107</v>
      </c>
      <c r="J310" s="1470"/>
      <c r="K310" s="1352"/>
      <c r="L310" s="1471">
        <f t="shared" ref="L310" si="132">J310*K310</f>
        <v>0</v>
      </c>
      <c r="M310" s="1472" t="str">
        <f>IFERROR(IF((VLOOKUP(N310,Überblick!$M$124:$N$132,2))="ja","ja","nein"),"")</f>
        <v/>
      </c>
      <c r="N310" s="1473"/>
      <c r="O310" s="38">
        <f t="shared" si="127"/>
        <v>0</v>
      </c>
      <c r="P310" s="44">
        <f t="shared" si="110"/>
        <v>0</v>
      </c>
      <c r="Q310" s="38">
        <f>IF(AND(N310&lt;1,I310="ja"),1,0)</f>
        <v>0</v>
      </c>
      <c r="R310" s="298"/>
      <c r="S310" s="298"/>
      <c r="T310" s="298"/>
      <c r="U310" s="298"/>
      <c r="V310" s="298"/>
      <c r="W310" s="298"/>
      <c r="X310" s="629"/>
      <c r="AD310" s="38"/>
      <c r="AE310" s="38"/>
      <c r="AF310" s="38"/>
      <c r="AG310" s="38"/>
      <c r="AH310" s="38"/>
      <c r="AI310" s="38"/>
      <c r="AJ310" s="38"/>
      <c r="AK310" s="38"/>
      <c r="AL310" s="38"/>
      <c r="AM310" s="38"/>
    </row>
    <row r="311" spans="2:39" ht="14.25" hidden="1" customHeight="1" outlineLevel="1" x14ac:dyDescent="0.25">
      <c r="B311" s="1466"/>
      <c r="C311" s="1467"/>
      <c r="D311" s="1467"/>
      <c r="E311" s="1467"/>
      <c r="F311" s="1467"/>
      <c r="G311" s="1467"/>
      <c r="H311" s="1467"/>
      <c r="I311" s="1475"/>
      <c r="J311" s="1470"/>
      <c r="K311" s="1352"/>
      <c r="L311" s="1471"/>
      <c r="M311" s="1472"/>
      <c r="N311" s="1473"/>
      <c r="O311" s="38"/>
      <c r="P311" s="44"/>
      <c r="Q311" s="298"/>
      <c r="R311" s="298"/>
      <c r="S311" s="298"/>
      <c r="T311" s="298"/>
      <c r="U311" s="298"/>
      <c r="V311" s="298"/>
      <c r="W311" s="298"/>
      <c r="X311" s="629"/>
      <c r="AD311" s="38"/>
      <c r="AE311" s="38"/>
      <c r="AF311" s="38"/>
      <c r="AG311" s="38"/>
      <c r="AH311" s="38"/>
      <c r="AI311" s="38"/>
      <c r="AJ311" s="38"/>
      <c r="AK311" s="38"/>
      <c r="AL311" s="38"/>
      <c r="AM311" s="38"/>
    </row>
    <row r="312" spans="2:39" ht="14.25" hidden="1" customHeight="1" outlineLevel="1" x14ac:dyDescent="0.25">
      <c r="B312" s="1466" t="s">
        <v>618</v>
      </c>
      <c r="C312" s="1467"/>
      <c r="D312" s="1467"/>
      <c r="E312" s="1467"/>
      <c r="F312" s="1467"/>
      <c r="G312" s="1467"/>
      <c r="H312" s="1467"/>
      <c r="I312" s="1474" t="s">
        <v>107</v>
      </c>
      <c r="J312" s="1470"/>
      <c r="K312" s="1352"/>
      <c r="L312" s="1471">
        <f t="shared" ref="L312" si="133">J312*K312</f>
        <v>0</v>
      </c>
      <c r="M312" s="1472" t="str">
        <f>IFERROR(IF((VLOOKUP(N312,Überblick!$M$124:$N$132,2))="ja","ja","nein"),"")</f>
        <v/>
      </c>
      <c r="N312" s="1473"/>
      <c r="O312" s="38">
        <f t="shared" si="127"/>
        <v>0</v>
      </c>
      <c r="P312" s="44">
        <f t="shared" si="110"/>
        <v>0</v>
      </c>
      <c r="Q312" s="38">
        <f>IF(AND(N312&lt;1,I312="ja"),1,0)</f>
        <v>0</v>
      </c>
      <c r="R312" s="298"/>
      <c r="S312" s="298"/>
      <c r="T312" s="298"/>
      <c r="U312" s="298"/>
      <c r="V312" s="298"/>
      <c r="W312" s="298"/>
      <c r="X312" s="629"/>
      <c r="AD312" s="38"/>
      <c r="AE312" s="38"/>
      <c r="AF312" s="38"/>
      <c r="AG312" s="38"/>
      <c r="AH312" s="38"/>
      <c r="AI312" s="38"/>
      <c r="AJ312" s="38"/>
      <c r="AK312" s="38"/>
      <c r="AL312" s="38"/>
      <c r="AM312" s="38"/>
    </row>
    <row r="313" spans="2:39" ht="14.25" hidden="1" customHeight="1" outlineLevel="1" x14ac:dyDescent="0.25">
      <c r="B313" s="1466"/>
      <c r="C313" s="1467"/>
      <c r="D313" s="1467"/>
      <c r="E313" s="1467"/>
      <c r="F313" s="1467"/>
      <c r="G313" s="1467"/>
      <c r="H313" s="1467"/>
      <c r="I313" s="1475"/>
      <c r="J313" s="1470"/>
      <c r="K313" s="1352"/>
      <c r="L313" s="1471"/>
      <c r="M313" s="1472"/>
      <c r="N313" s="1473"/>
      <c r="O313" s="38"/>
      <c r="P313" s="44"/>
      <c r="Q313" s="298"/>
      <c r="R313" s="298"/>
      <c r="S313" s="298"/>
      <c r="T313" s="298"/>
      <c r="U313" s="298"/>
      <c r="V313" s="298"/>
      <c r="W313" s="298"/>
      <c r="X313" s="629"/>
      <c r="AD313" s="38"/>
      <c r="AE313" s="38"/>
      <c r="AF313" s="38"/>
      <c r="AG313" s="38"/>
      <c r="AH313" s="38"/>
      <c r="AI313" s="38"/>
      <c r="AJ313" s="38"/>
      <c r="AK313" s="38"/>
      <c r="AL313" s="38"/>
      <c r="AM313" s="38"/>
    </row>
    <row r="314" spans="2:39" ht="14.25" hidden="1" customHeight="1" outlineLevel="1" x14ac:dyDescent="0.25">
      <c r="B314" s="1466" t="s">
        <v>619</v>
      </c>
      <c r="C314" s="1467"/>
      <c r="D314" s="1467"/>
      <c r="E314" s="1467"/>
      <c r="F314" s="1467"/>
      <c r="G314" s="1467"/>
      <c r="H314" s="1467"/>
      <c r="I314" s="1474" t="s">
        <v>107</v>
      </c>
      <c r="J314" s="1470"/>
      <c r="K314" s="1352"/>
      <c r="L314" s="1471">
        <f t="shared" ref="L314" si="134">J314*K314</f>
        <v>0</v>
      </c>
      <c r="M314" s="1472" t="str">
        <f>IFERROR(IF((VLOOKUP(N314,Überblick!$M$124:$N$132,2))="ja","ja","nein"),"")</f>
        <v/>
      </c>
      <c r="N314" s="1473"/>
      <c r="O314" s="38">
        <f t="shared" si="127"/>
        <v>0</v>
      </c>
      <c r="P314" s="44">
        <f t="shared" si="110"/>
        <v>0</v>
      </c>
      <c r="Q314" s="38">
        <f>IF(AND(N314&lt;1,I314="ja"),1,0)</f>
        <v>0</v>
      </c>
      <c r="R314" s="298"/>
      <c r="S314" s="298"/>
      <c r="T314" s="298"/>
      <c r="U314" s="298"/>
      <c r="V314" s="298"/>
      <c r="W314" s="298"/>
      <c r="X314" s="629"/>
      <c r="AD314" s="38"/>
      <c r="AE314" s="38"/>
      <c r="AF314" s="38"/>
      <c r="AG314" s="38"/>
      <c r="AH314" s="38"/>
      <c r="AI314" s="38"/>
      <c r="AJ314" s="38"/>
      <c r="AK314" s="38"/>
      <c r="AL314" s="38"/>
      <c r="AM314" s="38"/>
    </row>
    <row r="315" spans="2:39" ht="14.25" hidden="1" customHeight="1" outlineLevel="1" x14ac:dyDescent="0.25">
      <c r="B315" s="1466"/>
      <c r="C315" s="1467"/>
      <c r="D315" s="1467"/>
      <c r="E315" s="1467"/>
      <c r="F315" s="1467"/>
      <c r="G315" s="1467"/>
      <c r="H315" s="1467"/>
      <c r="I315" s="1475"/>
      <c r="J315" s="1470"/>
      <c r="K315" s="1352"/>
      <c r="L315" s="1471"/>
      <c r="M315" s="1472"/>
      <c r="N315" s="1473"/>
      <c r="O315" s="38"/>
      <c r="P315" s="44"/>
      <c r="Q315" s="298"/>
      <c r="R315" s="298"/>
      <c r="S315" s="298"/>
      <c r="T315" s="298"/>
      <c r="U315" s="298"/>
      <c r="V315" s="298"/>
      <c r="W315" s="298"/>
      <c r="X315" s="629"/>
      <c r="AD315" s="38"/>
      <c r="AE315" s="38"/>
      <c r="AF315" s="38"/>
      <c r="AG315" s="38"/>
      <c r="AH315" s="38"/>
      <c r="AI315" s="38"/>
      <c r="AJ315" s="38"/>
      <c r="AK315" s="38"/>
      <c r="AL315" s="38"/>
      <c r="AM315" s="38"/>
    </row>
    <row r="316" spans="2:39" ht="14.25" hidden="1" customHeight="1" outlineLevel="1" x14ac:dyDescent="0.25">
      <c r="B316" s="1466" t="s">
        <v>620</v>
      </c>
      <c r="C316" s="1467"/>
      <c r="D316" s="1467"/>
      <c r="E316" s="1467"/>
      <c r="F316" s="1467"/>
      <c r="G316" s="1467"/>
      <c r="H316" s="1467"/>
      <c r="I316" s="1474" t="s">
        <v>107</v>
      </c>
      <c r="J316" s="1470"/>
      <c r="K316" s="1352"/>
      <c r="L316" s="1471">
        <f t="shared" ref="L316" si="135">J316*K316</f>
        <v>0</v>
      </c>
      <c r="M316" s="1472" t="str">
        <f>IFERROR(IF((VLOOKUP(N316,Überblick!$M$124:$N$132,2))="ja","ja","nein"),"")</f>
        <v/>
      </c>
      <c r="N316" s="1473"/>
      <c r="O316" s="38">
        <f t="shared" si="127"/>
        <v>0</v>
      </c>
      <c r="P316" s="44">
        <f t="shared" si="110"/>
        <v>0</v>
      </c>
      <c r="Q316" s="38">
        <f>IF(AND(N316&lt;1,I316="ja"),1,0)</f>
        <v>0</v>
      </c>
      <c r="R316" s="298"/>
      <c r="S316" s="298"/>
      <c r="T316" s="298"/>
      <c r="U316" s="298"/>
      <c r="V316" s="298"/>
      <c r="W316" s="298"/>
      <c r="X316" s="629"/>
      <c r="AD316" s="38"/>
      <c r="AE316" s="38"/>
      <c r="AF316" s="38"/>
      <c r="AG316" s="38"/>
      <c r="AH316" s="38"/>
      <c r="AI316" s="38"/>
      <c r="AJ316" s="38"/>
      <c r="AK316" s="38"/>
      <c r="AL316" s="38"/>
      <c r="AM316" s="38"/>
    </row>
    <row r="317" spans="2:39" ht="14.25" hidden="1" customHeight="1" outlineLevel="1" x14ac:dyDescent="0.25">
      <c r="B317" s="1511"/>
      <c r="C317" s="1512"/>
      <c r="D317" s="1512"/>
      <c r="E317" s="1512"/>
      <c r="F317" s="1512"/>
      <c r="G317" s="1512"/>
      <c r="H317" s="1512"/>
      <c r="I317" s="1475"/>
      <c r="J317" s="1513"/>
      <c r="K317" s="1365"/>
      <c r="L317" s="1514"/>
      <c r="M317" s="1472"/>
      <c r="N317" s="1515"/>
      <c r="O317" s="38"/>
      <c r="P317" s="44"/>
      <c r="Q317" s="298"/>
      <c r="R317" s="298"/>
      <c r="S317" s="298"/>
      <c r="T317" s="298"/>
      <c r="U317" s="298"/>
      <c r="V317" s="298"/>
      <c r="W317" s="298"/>
      <c r="X317" s="629"/>
      <c r="AD317" s="38"/>
      <c r="AE317" s="38"/>
      <c r="AF317" s="38"/>
      <c r="AG317" s="38"/>
      <c r="AH317" s="38"/>
      <c r="AI317" s="38"/>
      <c r="AJ317" s="38"/>
      <c r="AK317" s="38"/>
      <c r="AL317" s="38"/>
      <c r="AM317" s="38"/>
    </row>
    <row r="318" spans="2:39" ht="14.25" hidden="1" customHeight="1" outlineLevel="1" x14ac:dyDescent="0.25">
      <c r="B318" s="1466" t="s">
        <v>621</v>
      </c>
      <c r="C318" s="1467"/>
      <c r="D318" s="1467"/>
      <c r="E318" s="1467"/>
      <c r="F318" s="1467"/>
      <c r="G318" s="1467"/>
      <c r="H318" s="1467"/>
      <c r="I318" s="1474" t="s">
        <v>107</v>
      </c>
      <c r="J318" s="1470"/>
      <c r="K318" s="1352"/>
      <c r="L318" s="1471">
        <f t="shared" ref="L318" si="136">J318*K318</f>
        <v>0</v>
      </c>
      <c r="M318" s="1472" t="str">
        <f>IFERROR(IF((VLOOKUP(N318,Überblick!$M$124:$N$132,2))="ja","ja","nein"),"")</f>
        <v/>
      </c>
      <c r="N318" s="1473"/>
      <c r="O318" s="38">
        <f t="shared" si="127"/>
        <v>0</v>
      </c>
      <c r="P318" s="44">
        <f t="shared" si="110"/>
        <v>0</v>
      </c>
      <c r="Q318" s="38">
        <f>IF(AND(N318&lt;1,I318="ja"),1,0)</f>
        <v>0</v>
      </c>
      <c r="R318" s="298"/>
      <c r="S318" s="298"/>
      <c r="T318" s="298"/>
      <c r="U318" s="298"/>
      <c r="V318" s="298"/>
      <c r="W318" s="298"/>
      <c r="X318" s="629"/>
      <c r="AD318" s="38"/>
      <c r="AE318" s="38"/>
      <c r="AF318" s="38"/>
      <c r="AG318" s="38"/>
      <c r="AH318" s="38"/>
      <c r="AI318" s="38"/>
      <c r="AJ318" s="38"/>
      <c r="AK318" s="38"/>
      <c r="AL318" s="38"/>
      <c r="AM318" s="38"/>
    </row>
    <row r="319" spans="2:39" ht="14.25" hidden="1" customHeight="1" outlineLevel="1" x14ac:dyDescent="0.25">
      <c r="B319" s="1466"/>
      <c r="C319" s="1467"/>
      <c r="D319" s="1467"/>
      <c r="E319" s="1467"/>
      <c r="F319" s="1467"/>
      <c r="G319" s="1467"/>
      <c r="H319" s="1467"/>
      <c r="I319" s="1475"/>
      <c r="J319" s="1470"/>
      <c r="K319" s="1352"/>
      <c r="L319" s="1471"/>
      <c r="M319" s="1472"/>
      <c r="N319" s="1473"/>
      <c r="O319" s="38"/>
      <c r="P319" s="44"/>
      <c r="Q319" s="298"/>
      <c r="R319" s="298"/>
      <c r="S319" s="298"/>
      <c r="T319" s="298"/>
      <c r="U319" s="298"/>
      <c r="V319" s="298"/>
      <c r="W319" s="298"/>
      <c r="X319" s="629"/>
      <c r="AD319" s="38"/>
      <c r="AE319" s="38"/>
      <c r="AF319" s="38"/>
      <c r="AG319" s="38"/>
      <c r="AH319" s="38"/>
      <c r="AI319" s="38"/>
      <c r="AJ319" s="38"/>
      <c r="AK319" s="38"/>
      <c r="AL319" s="38"/>
      <c r="AM319" s="38"/>
    </row>
    <row r="320" spans="2:39" ht="14.25" hidden="1" customHeight="1" outlineLevel="1" x14ac:dyDescent="0.25">
      <c r="B320" s="1466" t="s">
        <v>622</v>
      </c>
      <c r="C320" s="1467"/>
      <c r="D320" s="1467"/>
      <c r="E320" s="1467"/>
      <c r="F320" s="1467"/>
      <c r="G320" s="1467"/>
      <c r="H320" s="1467"/>
      <c r="I320" s="1474" t="s">
        <v>107</v>
      </c>
      <c r="J320" s="1470"/>
      <c r="K320" s="1352"/>
      <c r="L320" s="1471">
        <f t="shared" ref="L320" si="137">J320*K320</f>
        <v>0</v>
      </c>
      <c r="M320" s="1472" t="str">
        <f>IFERROR(IF((VLOOKUP(N320,Überblick!$M$124:$N$132,2))="ja","ja","nein"),"")</f>
        <v/>
      </c>
      <c r="N320" s="1473"/>
      <c r="O320" s="38">
        <f t="shared" si="127"/>
        <v>0</v>
      </c>
      <c r="P320" s="44">
        <f t="shared" si="110"/>
        <v>0</v>
      </c>
      <c r="Q320" s="38">
        <f>IF(AND(N320&lt;1,I320="ja"),1,0)</f>
        <v>0</v>
      </c>
      <c r="R320" s="298"/>
      <c r="S320" s="298"/>
      <c r="T320" s="298"/>
      <c r="U320" s="298"/>
      <c r="V320" s="298"/>
      <c r="W320" s="298"/>
      <c r="X320" s="629"/>
      <c r="AD320" s="38"/>
      <c r="AE320" s="38"/>
      <c r="AF320" s="38"/>
      <c r="AG320" s="38"/>
      <c r="AH320" s="38"/>
      <c r="AI320" s="38"/>
      <c r="AJ320" s="38"/>
      <c r="AK320" s="38"/>
      <c r="AL320" s="38"/>
      <c r="AM320" s="38"/>
    </row>
    <row r="321" spans="2:39" ht="14.25" hidden="1" customHeight="1" outlineLevel="1" x14ac:dyDescent="0.25">
      <c r="B321" s="1511"/>
      <c r="C321" s="1512"/>
      <c r="D321" s="1512"/>
      <c r="E321" s="1512"/>
      <c r="F321" s="1512"/>
      <c r="G321" s="1512"/>
      <c r="H321" s="1512"/>
      <c r="I321" s="1475"/>
      <c r="J321" s="1513"/>
      <c r="K321" s="1365"/>
      <c r="L321" s="1514"/>
      <c r="M321" s="1472"/>
      <c r="N321" s="1515"/>
      <c r="O321" s="38"/>
      <c r="P321" s="44"/>
      <c r="Q321" s="298"/>
      <c r="R321" s="298"/>
      <c r="S321" s="298"/>
      <c r="T321" s="298"/>
      <c r="U321" s="298"/>
      <c r="V321" s="298"/>
      <c r="W321" s="298"/>
      <c r="X321" s="629"/>
      <c r="AD321" s="38"/>
      <c r="AE321" s="38"/>
      <c r="AF321" s="38"/>
      <c r="AG321" s="38"/>
      <c r="AH321" s="38"/>
      <c r="AI321" s="38"/>
      <c r="AJ321" s="38"/>
      <c r="AK321" s="38"/>
      <c r="AL321" s="38"/>
      <c r="AM321" s="38"/>
    </row>
    <row r="322" spans="2:39" ht="14.25" hidden="1" customHeight="1" outlineLevel="1" x14ac:dyDescent="0.25">
      <c r="B322" s="1466"/>
      <c r="C322" s="1467"/>
      <c r="D322" s="1467"/>
      <c r="E322" s="1467"/>
      <c r="F322" s="1467"/>
      <c r="G322" s="1467"/>
      <c r="H322" s="1467"/>
      <c r="I322" s="1474" t="s">
        <v>107</v>
      </c>
      <c r="J322" s="1470"/>
      <c r="K322" s="1352"/>
      <c r="L322" s="1471">
        <f t="shared" ref="L322" si="138">J322*K322</f>
        <v>0</v>
      </c>
      <c r="M322" s="1472" t="str">
        <f>IFERROR(IF((VLOOKUP(N322,Überblick!$M$124:$N$132,2))="ja","ja","nein"),"")</f>
        <v/>
      </c>
      <c r="N322" s="1473"/>
      <c r="O322" s="38">
        <f t="shared" si="127"/>
        <v>0</v>
      </c>
      <c r="P322" s="44">
        <f t="shared" si="110"/>
        <v>0</v>
      </c>
      <c r="Q322" s="38">
        <f>IF(AND(N322&lt;1,I322="ja"),1,0)</f>
        <v>0</v>
      </c>
      <c r="R322" s="298"/>
      <c r="S322" s="298"/>
      <c r="T322" s="298"/>
      <c r="U322" s="298"/>
      <c r="V322" s="298"/>
      <c r="W322" s="298"/>
      <c r="X322" s="629"/>
      <c r="AD322" s="38"/>
      <c r="AE322" s="38"/>
      <c r="AF322" s="38"/>
      <c r="AG322" s="38"/>
      <c r="AH322" s="38"/>
      <c r="AI322" s="38"/>
      <c r="AJ322" s="38"/>
      <c r="AK322" s="38"/>
      <c r="AL322" s="38"/>
      <c r="AM322" s="38"/>
    </row>
    <row r="323" spans="2:39" ht="14.25" hidden="1" customHeight="1" outlineLevel="1" x14ac:dyDescent="0.25">
      <c r="B323" s="1466"/>
      <c r="C323" s="1467"/>
      <c r="D323" s="1467"/>
      <c r="E323" s="1467"/>
      <c r="F323" s="1467"/>
      <c r="G323" s="1467"/>
      <c r="H323" s="1467"/>
      <c r="I323" s="1475"/>
      <c r="J323" s="1470"/>
      <c r="K323" s="1352"/>
      <c r="L323" s="1471"/>
      <c r="M323" s="1472"/>
      <c r="N323" s="1473"/>
      <c r="O323" s="38"/>
      <c r="P323" s="44"/>
      <c r="Q323" s="298"/>
      <c r="R323" s="298"/>
      <c r="S323" s="298"/>
      <c r="T323" s="298"/>
      <c r="U323" s="298"/>
      <c r="V323" s="298"/>
      <c r="W323" s="298"/>
      <c r="X323" s="629"/>
      <c r="AD323" s="38"/>
      <c r="AE323" s="38"/>
      <c r="AF323" s="38"/>
      <c r="AG323" s="38"/>
      <c r="AH323" s="38"/>
      <c r="AI323" s="38"/>
      <c r="AJ323" s="38"/>
      <c r="AK323" s="38"/>
      <c r="AL323" s="38"/>
      <c r="AM323" s="38"/>
    </row>
    <row r="324" spans="2:39" ht="14.25" hidden="1" customHeight="1" outlineLevel="1" x14ac:dyDescent="0.25">
      <c r="B324" s="1516"/>
      <c r="C324" s="1517"/>
      <c r="D324" s="1517"/>
      <c r="E324" s="1517"/>
      <c r="F324" s="1517"/>
      <c r="G324" s="1517"/>
      <c r="H324" s="1517"/>
      <c r="I324" s="1474" t="s">
        <v>107</v>
      </c>
      <c r="J324" s="1470"/>
      <c r="K324" s="1352"/>
      <c r="L324" s="1471">
        <f t="shared" ref="L324" si="139">J324*K324</f>
        <v>0</v>
      </c>
      <c r="M324" s="1472" t="str">
        <f>IFERROR(IF((VLOOKUP(N324,Überblick!$M$124:$N$132,2))="ja","ja","nein"),"")</f>
        <v/>
      </c>
      <c r="N324" s="1473"/>
      <c r="O324" s="38">
        <f t="shared" si="127"/>
        <v>0</v>
      </c>
      <c r="P324" s="44">
        <f t="shared" si="110"/>
        <v>0</v>
      </c>
      <c r="Q324" s="38">
        <f>IF(AND(N324&lt;1,I324="ja"),1,0)</f>
        <v>0</v>
      </c>
      <c r="R324" s="298"/>
      <c r="S324" s="298"/>
      <c r="T324" s="298"/>
      <c r="U324" s="298"/>
      <c r="V324" s="298"/>
      <c r="W324" s="298"/>
      <c r="X324" s="629"/>
      <c r="AD324" s="38"/>
      <c r="AE324" s="38"/>
      <c r="AF324" s="38"/>
      <c r="AG324" s="38"/>
      <c r="AH324" s="38"/>
      <c r="AI324" s="38"/>
      <c r="AJ324" s="38"/>
      <c r="AK324" s="38"/>
      <c r="AL324" s="38"/>
      <c r="AM324" s="38"/>
    </row>
    <row r="325" spans="2:39" ht="14.25" hidden="1" customHeight="1" outlineLevel="1" x14ac:dyDescent="0.25">
      <c r="B325" s="1516"/>
      <c r="C325" s="1517"/>
      <c r="D325" s="1517"/>
      <c r="E325" s="1517"/>
      <c r="F325" s="1517"/>
      <c r="G325" s="1517"/>
      <c r="H325" s="1517"/>
      <c r="I325" s="1475"/>
      <c r="J325" s="1470"/>
      <c r="K325" s="1352"/>
      <c r="L325" s="1471"/>
      <c r="M325" s="1472"/>
      <c r="N325" s="1473"/>
      <c r="O325" s="38"/>
      <c r="P325" s="44"/>
      <c r="Q325" s="298"/>
      <c r="R325" s="298"/>
      <c r="S325" s="298"/>
      <c r="T325" s="298"/>
      <c r="U325" s="298"/>
      <c r="V325" s="298"/>
      <c r="W325" s="298"/>
      <c r="X325" s="629"/>
      <c r="AD325" s="38"/>
      <c r="AE325" s="38"/>
      <c r="AF325" s="38"/>
      <c r="AG325" s="38"/>
      <c r="AH325" s="38"/>
      <c r="AI325" s="38"/>
      <c r="AJ325" s="38"/>
      <c r="AK325" s="38"/>
      <c r="AL325" s="38"/>
      <c r="AM325" s="38"/>
    </row>
    <row r="326" spans="2:39" ht="14.25" hidden="1" customHeight="1" outlineLevel="1" x14ac:dyDescent="0.25">
      <c r="B326" s="1466"/>
      <c r="C326" s="1467"/>
      <c r="D326" s="1467"/>
      <c r="E326" s="1467"/>
      <c r="F326" s="1467"/>
      <c r="G326" s="1467"/>
      <c r="H326" s="1467"/>
      <c r="I326" s="1474" t="s">
        <v>107</v>
      </c>
      <c r="J326" s="1470"/>
      <c r="K326" s="1352"/>
      <c r="L326" s="1471">
        <f t="shared" ref="L326" si="140">J326*K326</f>
        <v>0</v>
      </c>
      <c r="M326" s="1472" t="str">
        <f>IFERROR(IF((VLOOKUP(N326,Überblick!$M$124:$N$132,2))="ja","ja","nein"),"")</f>
        <v/>
      </c>
      <c r="N326" s="1473"/>
      <c r="O326" s="38">
        <f t="shared" si="127"/>
        <v>0</v>
      </c>
      <c r="P326" s="44">
        <f t="shared" si="110"/>
        <v>0</v>
      </c>
      <c r="Q326" s="38">
        <f>IF(AND(N326&lt;1,I326="ja"),1,0)</f>
        <v>0</v>
      </c>
      <c r="R326" s="298"/>
      <c r="S326" s="298"/>
      <c r="T326" s="298"/>
      <c r="U326" s="298"/>
      <c r="V326" s="298"/>
      <c r="W326" s="298"/>
      <c r="X326" s="629"/>
      <c r="AD326" s="38"/>
      <c r="AE326" s="38"/>
      <c r="AF326" s="38"/>
      <c r="AG326" s="38"/>
      <c r="AH326" s="38"/>
      <c r="AI326" s="38"/>
      <c r="AJ326" s="38"/>
      <c r="AK326" s="38"/>
      <c r="AL326" s="38"/>
      <c r="AM326" s="38"/>
    </row>
    <row r="327" spans="2:39" ht="14.25" hidden="1" customHeight="1" outlineLevel="1" x14ac:dyDescent="0.25">
      <c r="B327" s="1466"/>
      <c r="C327" s="1467"/>
      <c r="D327" s="1467"/>
      <c r="E327" s="1467"/>
      <c r="F327" s="1467"/>
      <c r="G327" s="1467"/>
      <c r="H327" s="1467"/>
      <c r="I327" s="1475"/>
      <c r="J327" s="1470"/>
      <c r="K327" s="1352"/>
      <c r="L327" s="1471"/>
      <c r="M327" s="1472"/>
      <c r="N327" s="1473"/>
      <c r="O327" s="38"/>
      <c r="P327" s="44"/>
      <c r="Q327" s="298"/>
      <c r="R327" s="298"/>
      <c r="S327" s="298"/>
      <c r="T327" s="298"/>
      <c r="U327" s="298"/>
      <c r="V327" s="298"/>
      <c r="W327" s="298"/>
      <c r="X327" s="629"/>
      <c r="AD327" s="38"/>
      <c r="AE327" s="38"/>
      <c r="AF327" s="38"/>
      <c r="AG327" s="38"/>
      <c r="AH327" s="38"/>
      <c r="AI327" s="38"/>
      <c r="AJ327" s="38"/>
      <c r="AK327" s="38"/>
      <c r="AL327" s="38"/>
      <c r="AM327" s="38"/>
    </row>
    <row r="328" spans="2:39" ht="14.25" hidden="1" customHeight="1" outlineLevel="1" x14ac:dyDescent="0.25">
      <c r="B328" s="1466"/>
      <c r="C328" s="1467"/>
      <c r="D328" s="1467"/>
      <c r="E328" s="1467"/>
      <c r="F328" s="1467"/>
      <c r="G328" s="1467"/>
      <c r="H328" s="1467"/>
      <c r="I328" s="1474" t="s">
        <v>107</v>
      </c>
      <c r="J328" s="1470"/>
      <c r="K328" s="1352"/>
      <c r="L328" s="1471">
        <f t="shared" ref="L328" si="141">J328*K328</f>
        <v>0</v>
      </c>
      <c r="M328" s="1472" t="str">
        <f>IFERROR(IF((VLOOKUP(N328,Überblick!$M$124:$N$132,2))="ja","ja","nein"),"")</f>
        <v/>
      </c>
      <c r="N328" s="1473"/>
      <c r="O328" s="38">
        <f t="shared" si="127"/>
        <v>0</v>
      </c>
      <c r="P328" s="44">
        <f t="shared" si="110"/>
        <v>0</v>
      </c>
      <c r="Q328" s="38">
        <f>IF(AND(N328&lt;1,I328="ja"),1,0)</f>
        <v>0</v>
      </c>
      <c r="R328" s="298"/>
      <c r="S328" s="298"/>
      <c r="T328" s="298"/>
      <c r="U328" s="298"/>
      <c r="V328" s="298"/>
      <c r="W328" s="298"/>
      <c r="X328" s="629"/>
      <c r="AD328" s="38"/>
      <c r="AE328" s="38"/>
      <c r="AF328" s="38"/>
      <c r="AG328" s="38"/>
      <c r="AH328" s="38"/>
      <c r="AI328" s="38"/>
      <c r="AJ328" s="38"/>
      <c r="AK328" s="38"/>
      <c r="AL328" s="38"/>
      <c r="AM328" s="38"/>
    </row>
    <row r="329" spans="2:39" ht="14.25" hidden="1" customHeight="1" outlineLevel="1" x14ac:dyDescent="0.25">
      <c r="B329" s="1511"/>
      <c r="C329" s="1512"/>
      <c r="D329" s="1512"/>
      <c r="E329" s="1512"/>
      <c r="F329" s="1512"/>
      <c r="G329" s="1512"/>
      <c r="H329" s="1512"/>
      <c r="I329" s="1475"/>
      <c r="J329" s="1513"/>
      <c r="K329" s="1365"/>
      <c r="L329" s="1514"/>
      <c r="M329" s="1472"/>
      <c r="N329" s="1515"/>
      <c r="O329" s="38"/>
      <c r="P329" s="44"/>
      <c r="Q329" s="298"/>
      <c r="R329" s="298"/>
      <c r="S329" s="298"/>
      <c r="T329" s="298"/>
      <c r="U329" s="298"/>
      <c r="V329" s="298"/>
      <c r="W329" s="298"/>
      <c r="X329" s="629"/>
      <c r="AD329" s="38"/>
      <c r="AE329" s="38"/>
      <c r="AF329" s="38"/>
      <c r="AG329" s="38"/>
      <c r="AH329" s="38"/>
      <c r="AI329" s="38"/>
      <c r="AJ329" s="38"/>
      <c r="AK329" s="38"/>
      <c r="AL329" s="38"/>
      <c r="AM329" s="38"/>
    </row>
    <row r="330" spans="2:39" ht="14.25" hidden="1" customHeight="1" outlineLevel="1" x14ac:dyDescent="0.25">
      <c r="B330" s="1466"/>
      <c r="C330" s="1467"/>
      <c r="D330" s="1467"/>
      <c r="E330" s="1467"/>
      <c r="F330" s="1467"/>
      <c r="G330" s="1467"/>
      <c r="H330" s="1467"/>
      <c r="I330" s="1469" t="s">
        <v>107</v>
      </c>
      <c r="J330" s="1470"/>
      <c r="K330" s="1352"/>
      <c r="L330" s="1471">
        <f t="shared" ref="L330" si="142">J330*K330</f>
        <v>0</v>
      </c>
      <c r="M330" s="1472" t="str">
        <f>IFERROR(IF((VLOOKUP(N330,Überblick!$M$124:$N$132,2))="ja","ja","nein"),"")</f>
        <v/>
      </c>
      <c r="N330" s="1473"/>
      <c r="O330" s="38">
        <f t="shared" si="127"/>
        <v>0</v>
      </c>
      <c r="P330" s="44">
        <f t="shared" ref="P330:P349" si="143">IF(I330="ja",1,0)</f>
        <v>0</v>
      </c>
      <c r="Q330" s="38">
        <f>IF(AND(N330&lt;1,I330="ja"),1,0)</f>
        <v>0</v>
      </c>
      <c r="R330" s="298"/>
      <c r="S330" s="298"/>
      <c r="T330" s="298"/>
      <c r="U330" s="298"/>
      <c r="V330" s="298"/>
      <c r="W330" s="298"/>
      <c r="X330" s="629"/>
      <c r="AD330" s="38"/>
      <c r="AE330" s="38"/>
      <c r="AF330" s="38"/>
      <c r="AG330" s="38"/>
      <c r="AH330" s="38"/>
      <c r="AI330" s="38"/>
      <c r="AJ330" s="38"/>
      <c r="AK330" s="38"/>
      <c r="AL330" s="38"/>
      <c r="AM330" s="38"/>
    </row>
    <row r="331" spans="2:39" ht="14.25" hidden="1" customHeight="1" outlineLevel="1" thickBot="1" x14ac:dyDescent="0.3">
      <c r="B331" s="1476"/>
      <c r="C331" s="1477"/>
      <c r="D331" s="1477"/>
      <c r="E331" s="1477"/>
      <c r="F331" s="1477"/>
      <c r="G331" s="1477"/>
      <c r="H331" s="1477"/>
      <c r="I331" s="1478"/>
      <c r="J331" s="1479"/>
      <c r="K331" s="1359"/>
      <c r="L331" s="1480"/>
      <c r="M331" s="1481"/>
      <c r="N331" s="1482"/>
      <c r="O331" s="38"/>
      <c r="P331" s="44"/>
      <c r="Q331" s="298"/>
      <c r="R331" s="298"/>
      <c r="S331" s="298"/>
      <c r="T331" s="298"/>
      <c r="U331" s="298"/>
      <c r="V331" s="298"/>
      <c r="W331" s="298"/>
      <c r="X331" s="629"/>
      <c r="AD331" s="38"/>
      <c r="AE331" s="38"/>
      <c r="AF331" s="38"/>
      <c r="AG331" s="38"/>
      <c r="AH331" s="38"/>
      <c r="AI331" s="38"/>
      <c r="AJ331" s="38"/>
      <c r="AK331" s="38"/>
      <c r="AL331" s="38"/>
      <c r="AM331" s="38"/>
    </row>
    <row r="332" spans="2:39" ht="14.25" customHeight="1" collapsed="1" x14ac:dyDescent="0.25">
      <c r="B332" s="28"/>
      <c r="C332" s="28"/>
      <c r="D332" s="28"/>
      <c r="E332" s="28"/>
      <c r="F332" s="32"/>
      <c r="G332" s="32"/>
      <c r="H332" s="32"/>
      <c r="I332" s="32"/>
      <c r="J332" s="32"/>
      <c r="K332" s="33"/>
      <c r="L332" s="303">
        <f>SUM(L186:L331)</f>
        <v>0</v>
      </c>
      <c r="M332" s="33"/>
      <c r="N332" s="33"/>
      <c r="O332" s="38"/>
      <c r="P332" s="44"/>
      <c r="Q332" s="298"/>
      <c r="R332" s="298"/>
      <c r="S332" s="298"/>
      <c r="T332" s="298"/>
      <c r="U332" s="298"/>
      <c r="V332" s="298"/>
      <c r="W332" s="298"/>
      <c r="X332" s="629"/>
      <c r="AD332" s="38"/>
      <c r="AE332" s="38"/>
      <c r="AF332" s="38"/>
      <c r="AG332" s="38"/>
      <c r="AH332" s="38"/>
      <c r="AI332" s="38"/>
      <c r="AJ332" s="38"/>
      <c r="AK332" s="38"/>
      <c r="AL332" s="38"/>
      <c r="AM332" s="38"/>
    </row>
    <row r="333" spans="2:39" ht="14.25" hidden="1" customHeight="1" outlineLevel="1" x14ac:dyDescent="0.25">
      <c r="B333" s="1082" t="s">
        <v>623</v>
      </c>
      <c r="C333" s="1083"/>
      <c r="D333" s="1083"/>
      <c r="E333" s="1083"/>
      <c r="F333" s="1083"/>
      <c r="G333" s="1083"/>
      <c r="H333" s="1322"/>
      <c r="I333" s="1027" t="s">
        <v>164</v>
      </c>
      <c r="J333" s="1483" t="str">
        <f>IF(A304=Y305,"Honorar für die besonderen Leistungen","Honorarangebot für die besonderen Leistungen")</f>
        <v>Honorar für die besonderen Leistungen</v>
      </c>
      <c r="K333" s="1483" t="s">
        <v>505</v>
      </c>
      <c r="L333" s="1485" t="s">
        <v>549</v>
      </c>
      <c r="M333" s="1483" t="s">
        <v>169</v>
      </c>
      <c r="N333" s="1489" t="s">
        <v>170</v>
      </c>
      <c r="O333" s="38"/>
      <c r="P333" s="44"/>
      <c r="Q333" s="298"/>
      <c r="R333" s="298"/>
      <c r="S333" s="298"/>
      <c r="T333" s="298"/>
      <c r="U333" s="298"/>
      <c r="V333" s="298"/>
      <c r="W333" s="298"/>
      <c r="X333" s="629"/>
      <c r="AD333" s="38"/>
      <c r="AE333" s="38"/>
      <c r="AF333" s="38"/>
      <c r="AG333" s="38"/>
      <c r="AH333" s="38"/>
      <c r="AI333" s="38"/>
      <c r="AJ333" s="38"/>
      <c r="AK333" s="38"/>
      <c r="AL333" s="38"/>
      <c r="AM333" s="38"/>
    </row>
    <row r="334" spans="2:39" ht="14.25" hidden="1" customHeight="1" outlineLevel="1" x14ac:dyDescent="0.25">
      <c r="B334" s="1084"/>
      <c r="C334" s="1085"/>
      <c r="D334" s="1085"/>
      <c r="E334" s="1085"/>
      <c r="F334" s="1085"/>
      <c r="G334" s="1085"/>
      <c r="H334" s="1323"/>
      <c r="I334" s="1028"/>
      <c r="J334" s="1484"/>
      <c r="K334" s="1484"/>
      <c r="L334" s="1486"/>
      <c r="M334" s="1484"/>
      <c r="N334" s="1490"/>
      <c r="O334" s="38"/>
      <c r="P334" s="44"/>
      <c r="Q334" s="298"/>
      <c r="R334" s="298"/>
      <c r="S334" s="298"/>
      <c r="T334" s="298"/>
      <c r="U334" s="298"/>
      <c r="V334" s="298"/>
      <c r="W334" s="298"/>
      <c r="X334" s="629"/>
      <c r="AD334" s="38"/>
      <c r="AE334" s="38"/>
      <c r="AF334" s="38"/>
      <c r="AG334" s="38"/>
      <c r="AH334" s="38"/>
      <c r="AI334" s="38"/>
      <c r="AJ334" s="38"/>
      <c r="AK334" s="38"/>
      <c r="AL334" s="38"/>
      <c r="AM334" s="38"/>
    </row>
    <row r="335" spans="2:39" ht="14.25" hidden="1" customHeight="1" outlineLevel="1" thickBot="1" x14ac:dyDescent="0.3">
      <c r="B335" s="1084"/>
      <c r="C335" s="1085"/>
      <c r="D335" s="1085"/>
      <c r="E335" s="1085"/>
      <c r="F335" s="1085"/>
      <c r="G335" s="1085"/>
      <c r="H335" s="1323"/>
      <c r="I335" s="1029"/>
      <c r="J335" s="1484"/>
      <c r="K335" s="1484"/>
      <c r="L335" s="1487"/>
      <c r="M335" s="1488"/>
      <c r="N335" s="1491"/>
      <c r="O335" s="38"/>
      <c r="P335" s="44"/>
      <c r="Q335" s="298"/>
      <c r="R335" s="298"/>
      <c r="S335" s="298"/>
      <c r="T335" s="298"/>
      <c r="U335" s="298"/>
      <c r="V335" s="298"/>
      <c r="W335" s="298"/>
      <c r="X335" s="629"/>
      <c r="AD335" s="38"/>
      <c r="AE335" s="38"/>
      <c r="AF335" s="38"/>
      <c r="AG335" s="38"/>
      <c r="AH335" s="38"/>
      <c r="AI335" s="38"/>
      <c r="AJ335" s="38"/>
      <c r="AK335" s="38"/>
      <c r="AL335" s="38"/>
      <c r="AM335" s="38"/>
    </row>
    <row r="336" spans="2:39" ht="14.25" hidden="1" customHeight="1" outlineLevel="1" x14ac:dyDescent="0.25">
      <c r="B336" s="1492" t="s">
        <v>624</v>
      </c>
      <c r="C336" s="1493"/>
      <c r="D336" s="1493"/>
      <c r="E336" s="1493"/>
      <c r="F336" s="1493"/>
      <c r="G336" s="1493"/>
      <c r="H336" s="1494"/>
      <c r="I336" s="1475" t="s">
        <v>107</v>
      </c>
      <c r="J336" s="1501"/>
      <c r="K336" s="1504"/>
      <c r="L336" s="1125">
        <f t="shared" ref="L336" si="144">J336*K336</f>
        <v>0</v>
      </c>
      <c r="M336" s="1507" t="str">
        <f>IFERROR(IF((VLOOKUP(N336,Überblick!$M$124:$N$132,2))="ja","ja","nein"),"")</f>
        <v/>
      </c>
      <c r="N336" s="1508"/>
      <c r="O336" s="38">
        <f t="shared" ref="O336" si="145">IF(AND(I336="ja",J336=""),1,0)</f>
        <v>0</v>
      </c>
      <c r="P336" s="44">
        <f t="shared" si="143"/>
        <v>0</v>
      </c>
      <c r="Q336" s="38">
        <f>IF(AND(N336&lt;1,I336="ja"),1,0)</f>
        <v>0</v>
      </c>
      <c r="R336" s="298"/>
      <c r="S336" s="298"/>
      <c r="T336" s="298"/>
      <c r="U336" s="298"/>
      <c r="V336" s="298"/>
      <c r="W336" s="298"/>
      <c r="X336" s="629"/>
      <c r="AD336" s="38"/>
      <c r="AE336" s="38"/>
      <c r="AF336" s="38"/>
      <c r="AG336" s="38"/>
      <c r="AH336" s="38"/>
      <c r="AI336" s="38"/>
      <c r="AJ336" s="38"/>
      <c r="AK336" s="38"/>
      <c r="AL336" s="38"/>
      <c r="AM336" s="38"/>
    </row>
    <row r="337" spans="2:39" ht="14.25" hidden="1" customHeight="1" outlineLevel="1" x14ac:dyDescent="0.25">
      <c r="B337" s="1495"/>
      <c r="C337" s="1496"/>
      <c r="D337" s="1496"/>
      <c r="E337" s="1496"/>
      <c r="F337" s="1496"/>
      <c r="G337" s="1496"/>
      <c r="H337" s="1497"/>
      <c r="I337" s="1469"/>
      <c r="J337" s="1502"/>
      <c r="K337" s="1505"/>
      <c r="L337" s="1125"/>
      <c r="M337" s="1472"/>
      <c r="N337" s="1509"/>
      <c r="O337" s="38"/>
      <c r="P337" s="44"/>
      <c r="Q337" s="298"/>
      <c r="R337" s="298"/>
      <c r="S337" s="298"/>
      <c r="T337" s="298"/>
      <c r="U337" s="298"/>
      <c r="V337" s="298"/>
      <c r="W337" s="298"/>
      <c r="X337" s="629"/>
      <c r="AD337" s="38"/>
      <c r="AE337" s="38"/>
      <c r="AF337" s="38"/>
      <c r="AG337" s="38"/>
      <c r="AH337" s="38"/>
      <c r="AI337" s="38"/>
      <c r="AJ337" s="38"/>
      <c r="AK337" s="38"/>
      <c r="AL337" s="38"/>
      <c r="AM337" s="38"/>
    </row>
    <row r="338" spans="2:39" ht="14.25" hidden="1" customHeight="1" outlineLevel="1" x14ac:dyDescent="0.25">
      <c r="B338" s="1498"/>
      <c r="C338" s="1499"/>
      <c r="D338" s="1499"/>
      <c r="E338" s="1499"/>
      <c r="F338" s="1499"/>
      <c r="G338" s="1499"/>
      <c r="H338" s="1500"/>
      <c r="I338" s="1469"/>
      <c r="J338" s="1503"/>
      <c r="K338" s="1419"/>
      <c r="L338" s="1506"/>
      <c r="M338" s="1472"/>
      <c r="N338" s="1510"/>
      <c r="O338" s="38"/>
      <c r="P338" s="44"/>
      <c r="Q338" s="298"/>
      <c r="R338" s="298"/>
      <c r="S338" s="298"/>
      <c r="T338" s="298"/>
      <c r="U338" s="298"/>
      <c r="V338" s="298"/>
      <c r="W338" s="298"/>
      <c r="X338" s="629"/>
      <c r="AD338" s="38"/>
      <c r="AE338" s="38"/>
      <c r="AF338" s="38"/>
      <c r="AG338" s="38"/>
      <c r="AH338" s="38"/>
      <c r="AI338" s="38"/>
      <c r="AJ338" s="38"/>
      <c r="AK338" s="38"/>
      <c r="AL338" s="38"/>
      <c r="AM338" s="38"/>
    </row>
    <row r="339" spans="2:39" ht="14.25" hidden="1" customHeight="1" outlineLevel="1" x14ac:dyDescent="0.25">
      <c r="B339" s="1466" t="s">
        <v>625</v>
      </c>
      <c r="C339" s="1467"/>
      <c r="D339" s="1467"/>
      <c r="E339" s="1467"/>
      <c r="F339" s="1467"/>
      <c r="G339" s="1467"/>
      <c r="H339" s="1467"/>
      <c r="I339" s="1468" t="s">
        <v>107</v>
      </c>
      <c r="J339" s="1470"/>
      <c r="K339" s="1352"/>
      <c r="L339" s="1471">
        <f t="shared" ref="L339" si="146">J339*K339</f>
        <v>0</v>
      </c>
      <c r="M339" s="1472" t="str">
        <f>IFERROR(IF((VLOOKUP(N339,Überblick!$M$124:$N$132,2))="ja","ja","nein"),"")</f>
        <v/>
      </c>
      <c r="N339" s="1473"/>
      <c r="O339" s="38">
        <f t="shared" ref="O339" si="147">IF(AND(I339="ja",J339=""),1,0)</f>
        <v>0</v>
      </c>
      <c r="P339" s="44">
        <f t="shared" si="143"/>
        <v>0</v>
      </c>
      <c r="Q339" s="38">
        <f>IF(AND(N339&lt;1,I339="ja"),1,0)</f>
        <v>0</v>
      </c>
      <c r="R339" s="298"/>
      <c r="S339" s="298"/>
      <c r="T339" s="298"/>
      <c r="U339" s="298"/>
      <c r="V339" s="298"/>
      <c r="W339" s="298"/>
      <c r="X339" s="629"/>
      <c r="AD339" s="38"/>
      <c r="AE339" s="38"/>
      <c r="AF339" s="38"/>
      <c r="AG339" s="38"/>
      <c r="AH339" s="38"/>
      <c r="AI339" s="38"/>
      <c r="AJ339" s="38"/>
      <c r="AK339" s="38"/>
      <c r="AL339" s="38"/>
      <c r="AM339" s="38"/>
    </row>
    <row r="340" spans="2:39" ht="14.25" hidden="1" customHeight="1" outlineLevel="1" x14ac:dyDescent="0.25">
      <c r="B340" s="1466"/>
      <c r="C340" s="1467"/>
      <c r="D340" s="1467"/>
      <c r="E340" s="1467"/>
      <c r="F340" s="1467"/>
      <c r="G340" s="1467"/>
      <c r="H340" s="1467"/>
      <c r="I340" s="1469"/>
      <c r="J340" s="1470"/>
      <c r="K340" s="1352"/>
      <c r="L340" s="1471"/>
      <c r="M340" s="1472"/>
      <c r="N340" s="1473"/>
      <c r="O340" s="38"/>
      <c r="P340" s="44"/>
      <c r="Q340" s="298"/>
      <c r="R340" s="298"/>
      <c r="S340" s="298"/>
      <c r="T340" s="298"/>
      <c r="U340" s="298"/>
      <c r="V340" s="298"/>
      <c r="W340" s="298"/>
      <c r="X340" s="629"/>
      <c r="AD340" s="38"/>
      <c r="AE340" s="38"/>
      <c r="AF340" s="38"/>
      <c r="AG340" s="38"/>
      <c r="AH340" s="38"/>
      <c r="AI340" s="38"/>
      <c r="AJ340" s="38"/>
      <c r="AK340" s="38"/>
      <c r="AL340" s="38"/>
      <c r="AM340" s="38"/>
    </row>
    <row r="341" spans="2:39" ht="14.25" hidden="1" customHeight="1" outlineLevel="1" x14ac:dyDescent="0.25">
      <c r="B341" s="1466"/>
      <c r="C341" s="1467"/>
      <c r="D341" s="1467"/>
      <c r="E341" s="1467"/>
      <c r="F341" s="1467"/>
      <c r="G341" s="1467"/>
      <c r="H341" s="1467"/>
      <c r="I341" s="1469"/>
      <c r="J341" s="1470"/>
      <c r="K341" s="1352"/>
      <c r="L341" s="1471"/>
      <c r="M341" s="1472"/>
      <c r="N341" s="1473"/>
      <c r="O341" s="38"/>
      <c r="P341" s="44"/>
      <c r="Q341" s="298"/>
      <c r="R341" s="298"/>
      <c r="S341" s="298"/>
      <c r="T341" s="298"/>
      <c r="U341" s="298"/>
      <c r="V341" s="298"/>
      <c r="W341" s="298"/>
      <c r="X341" s="629"/>
      <c r="AD341" s="38"/>
      <c r="AE341" s="38"/>
      <c r="AF341" s="38"/>
      <c r="AG341" s="38"/>
      <c r="AH341" s="38"/>
      <c r="AI341" s="38"/>
      <c r="AJ341" s="38"/>
      <c r="AK341" s="38"/>
      <c r="AL341" s="38"/>
      <c r="AM341" s="38"/>
    </row>
    <row r="342" spans="2:39" ht="14.25" hidden="1" customHeight="1" outlineLevel="1" x14ac:dyDescent="0.25">
      <c r="B342" s="1466" t="s">
        <v>626</v>
      </c>
      <c r="C342" s="1467"/>
      <c r="D342" s="1467"/>
      <c r="E342" s="1467"/>
      <c r="F342" s="1467"/>
      <c r="G342" s="1467"/>
      <c r="H342" s="1467"/>
      <c r="I342" s="1468" t="s">
        <v>107</v>
      </c>
      <c r="J342" s="1470"/>
      <c r="K342" s="1352"/>
      <c r="L342" s="1471">
        <f t="shared" ref="L342" si="148">J342*K342</f>
        <v>0</v>
      </c>
      <c r="M342" s="1472" t="str">
        <f>IFERROR(IF((VLOOKUP(N342,Überblick!$M$124:$N$132,2))="ja","ja","nein"),"")</f>
        <v/>
      </c>
      <c r="N342" s="1473"/>
      <c r="O342" s="38">
        <f t="shared" ref="O342" si="149">IF(AND(I342="ja",J342=""),1,0)</f>
        <v>0</v>
      </c>
      <c r="P342" s="44">
        <f t="shared" si="143"/>
        <v>0</v>
      </c>
      <c r="Q342" s="38">
        <f>IF(AND(N342&lt;1,I342="ja"),1,0)</f>
        <v>0</v>
      </c>
      <c r="R342" s="298"/>
      <c r="S342" s="298"/>
      <c r="T342" s="298"/>
      <c r="U342" s="298"/>
      <c r="V342" s="298"/>
      <c r="W342" s="298"/>
      <c r="X342" s="629"/>
      <c r="AD342" s="38"/>
      <c r="AE342" s="38"/>
      <c r="AF342" s="38"/>
      <c r="AG342" s="38"/>
      <c r="AH342" s="38"/>
      <c r="AI342" s="38"/>
      <c r="AJ342" s="38"/>
      <c r="AK342" s="38"/>
      <c r="AL342" s="38"/>
      <c r="AM342" s="38"/>
    </row>
    <row r="343" spans="2:39" ht="14.25" hidden="1" customHeight="1" outlineLevel="1" x14ac:dyDescent="0.25">
      <c r="B343" s="1466"/>
      <c r="C343" s="1467"/>
      <c r="D343" s="1467"/>
      <c r="E343" s="1467"/>
      <c r="F343" s="1467"/>
      <c r="G343" s="1467"/>
      <c r="H343" s="1467"/>
      <c r="I343" s="1469"/>
      <c r="J343" s="1470"/>
      <c r="K343" s="1352"/>
      <c r="L343" s="1471"/>
      <c r="M343" s="1472"/>
      <c r="N343" s="1473"/>
      <c r="O343" s="38"/>
      <c r="P343" s="44"/>
      <c r="Q343" s="298"/>
      <c r="R343" s="298"/>
      <c r="S343" s="298"/>
      <c r="T343" s="298"/>
      <c r="U343" s="298"/>
      <c r="V343" s="298"/>
      <c r="W343" s="298"/>
      <c r="X343" s="629"/>
      <c r="AD343" s="38"/>
      <c r="AE343" s="38"/>
      <c r="AF343" s="38"/>
      <c r="AG343" s="38"/>
      <c r="AH343" s="38"/>
      <c r="AI343" s="38"/>
      <c r="AJ343" s="38"/>
      <c r="AK343" s="38"/>
      <c r="AL343" s="38"/>
      <c r="AM343" s="38"/>
    </row>
    <row r="344" spans="2:39" ht="14.25" hidden="1" customHeight="1" outlineLevel="1" x14ac:dyDescent="0.25">
      <c r="B344" s="1466"/>
      <c r="C344" s="1467"/>
      <c r="D344" s="1467"/>
      <c r="E344" s="1467"/>
      <c r="F344" s="1467"/>
      <c r="G344" s="1467"/>
      <c r="H344" s="1467"/>
      <c r="I344" s="1469"/>
      <c r="J344" s="1470"/>
      <c r="K344" s="1352"/>
      <c r="L344" s="1471"/>
      <c r="M344" s="1472"/>
      <c r="N344" s="1473"/>
      <c r="O344" s="38"/>
      <c r="P344" s="44"/>
      <c r="Q344" s="298"/>
      <c r="R344" s="298"/>
      <c r="S344" s="298"/>
      <c r="T344" s="298"/>
      <c r="U344" s="298"/>
      <c r="V344" s="298"/>
      <c r="W344" s="298"/>
      <c r="X344" s="629"/>
      <c r="AD344" s="38"/>
      <c r="AE344" s="38"/>
      <c r="AF344" s="38"/>
      <c r="AG344" s="38"/>
      <c r="AH344" s="38"/>
      <c r="AI344" s="38"/>
      <c r="AJ344" s="38"/>
      <c r="AK344" s="38"/>
      <c r="AL344" s="38"/>
      <c r="AM344" s="38"/>
    </row>
    <row r="345" spans="2:39" ht="14.25" hidden="1" customHeight="1" outlineLevel="1" x14ac:dyDescent="0.25">
      <c r="B345" s="1466" t="s">
        <v>627</v>
      </c>
      <c r="C345" s="1467"/>
      <c r="D345" s="1467"/>
      <c r="E345" s="1467"/>
      <c r="F345" s="1467"/>
      <c r="G345" s="1467"/>
      <c r="H345" s="1467"/>
      <c r="I345" s="1469" t="s">
        <v>107</v>
      </c>
      <c r="J345" s="1470"/>
      <c r="K345" s="1352"/>
      <c r="L345" s="1471">
        <f t="shared" ref="L345" si="150">J345*K345</f>
        <v>0</v>
      </c>
      <c r="M345" s="1472" t="str">
        <f>IFERROR(IF((VLOOKUP(N345,Überblick!$M$124:$N$132,2))="ja","ja","nein"),"")</f>
        <v/>
      </c>
      <c r="N345" s="1473"/>
      <c r="O345" s="38">
        <f t="shared" ref="O345" si="151">IF(AND(I345="ja",J345=""),1,0)</f>
        <v>0</v>
      </c>
      <c r="P345" s="44">
        <f t="shared" si="143"/>
        <v>0</v>
      </c>
      <c r="Q345" s="38">
        <f>IF(AND(N345&lt;1,I345="ja"),1,0)</f>
        <v>0</v>
      </c>
      <c r="R345" s="298"/>
      <c r="S345" s="298"/>
      <c r="T345" s="298"/>
      <c r="U345" s="298"/>
      <c r="V345" s="298"/>
      <c r="W345" s="298"/>
      <c r="X345" s="629"/>
      <c r="AD345" s="38"/>
      <c r="AE345" s="38"/>
      <c r="AF345" s="38"/>
      <c r="AG345" s="38"/>
      <c r="AH345" s="38"/>
      <c r="AI345" s="38"/>
      <c r="AJ345" s="38"/>
      <c r="AK345" s="38"/>
      <c r="AL345" s="38"/>
      <c r="AM345" s="38"/>
    </row>
    <row r="346" spans="2:39" ht="14.25" hidden="1" customHeight="1" outlineLevel="1" x14ac:dyDescent="0.25">
      <c r="B346" s="1466"/>
      <c r="C346" s="1467"/>
      <c r="D346" s="1467"/>
      <c r="E346" s="1467"/>
      <c r="F346" s="1467"/>
      <c r="G346" s="1467"/>
      <c r="H346" s="1467"/>
      <c r="I346" s="1474"/>
      <c r="J346" s="1470"/>
      <c r="K346" s="1352"/>
      <c r="L346" s="1471"/>
      <c r="M346" s="1472"/>
      <c r="N346" s="1473"/>
      <c r="O346" s="38"/>
      <c r="P346" s="44"/>
      <c r="Q346" s="298"/>
      <c r="R346" s="298"/>
      <c r="S346" s="298"/>
      <c r="T346" s="298"/>
      <c r="U346" s="298"/>
      <c r="V346" s="298"/>
      <c r="W346" s="298"/>
      <c r="X346" s="629"/>
      <c r="AD346" s="38"/>
      <c r="AE346" s="38"/>
      <c r="AF346" s="38"/>
      <c r="AG346" s="38"/>
      <c r="AH346" s="38"/>
      <c r="AI346" s="38"/>
      <c r="AJ346" s="38"/>
      <c r="AK346" s="38"/>
      <c r="AL346" s="38"/>
      <c r="AM346" s="38"/>
    </row>
    <row r="347" spans="2:39" ht="14.25" hidden="1" customHeight="1" outlineLevel="1" x14ac:dyDescent="0.25">
      <c r="B347" s="1466"/>
      <c r="C347" s="1467"/>
      <c r="D347" s="1467"/>
      <c r="E347" s="1467"/>
      <c r="F347" s="1467"/>
      <c r="G347" s="1467"/>
      <c r="H347" s="1467"/>
      <c r="I347" s="1474"/>
      <c r="J347" s="1470"/>
      <c r="K347" s="1352"/>
      <c r="L347" s="1471"/>
      <c r="M347" s="1472"/>
      <c r="N347" s="1473"/>
      <c r="O347" s="38"/>
      <c r="P347" s="44"/>
      <c r="Q347" s="298"/>
      <c r="R347" s="298"/>
      <c r="S347" s="298"/>
      <c r="T347" s="298"/>
      <c r="U347" s="298"/>
      <c r="V347" s="298"/>
      <c r="W347" s="298"/>
      <c r="X347" s="629"/>
      <c r="AD347" s="38"/>
      <c r="AE347" s="38"/>
      <c r="AF347" s="38"/>
      <c r="AG347" s="38"/>
      <c r="AH347" s="38"/>
      <c r="AI347" s="38"/>
      <c r="AJ347" s="38"/>
      <c r="AK347" s="38"/>
      <c r="AL347" s="38"/>
      <c r="AM347" s="38"/>
    </row>
    <row r="348" spans="2:39" ht="14.25" hidden="1" customHeight="1" outlineLevel="1" x14ac:dyDescent="0.25">
      <c r="B348" s="1466"/>
      <c r="C348" s="1467"/>
      <c r="D348" s="1467"/>
      <c r="E348" s="1467"/>
      <c r="F348" s="1467"/>
      <c r="G348" s="1467"/>
      <c r="H348" s="1467"/>
      <c r="I348" s="1475"/>
      <c r="J348" s="1470"/>
      <c r="K348" s="1352"/>
      <c r="L348" s="1471"/>
      <c r="M348" s="1472"/>
      <c r="N348" s="1473"/>
      <c r="O348" s="38"/>
      <c r="P348" s="44"/>
      <c r="Q348" s="298"/>
      <c r="R348" s="298"/>
      <c r="S348" s="298"/>
      <c r="T348" s="298"/>
      <c r="U348" s="298"/>
      <c r="V348" s="298"/>
      <c r="W348" s="298"/>
      <c r="X348" s="629"/>
      <c r="AD348" s="38"/>
      <c r="AE348" s="38"/>
      <c r="AF348" s="38"/>
      <c r="AG348" s="38"/>
      <c r="AH348" s="38"/>
      <c r="AI348" s="38"/>
      <c r="AJ348" s="38"/>
      <c r="AK348" s="38"/>
      <c r="AL348" s="38"/>
      <c r="AM348" s="38"/>
    </row>
    <row r="349" spans="2:39" ht="14.25" hidden="1" customHeight="1" outlineLevel="1" x14ac:dyDescent="0.25">
      <c r="B349" s="1466" t="s">
        <v>628</v>
      </c>
      <c r="C349" s="1467"/>
      <c r="D349" s="1467"/>
      <c r="E349" s="1467"/>
      <c r="F349" s="1467"/>
      <c r="G349" s="1467"/>
      <c r="H349" s="1467"/>
      <c r="I349" s="1469" t="s">
        <v>107</v>
      </c>
      <c r="J349" s="1470"/>
      <c r="K349" s="1352"/>
      <c r="L349" s="1471">
        <f t="shared" ref="L349" si="152">J349*K349</f>
        <v>0</v>
      </c>
      <c r="M349" s="1472" t="str">
        <f>IFERROR(IF((VLOOKUP(N349,Überblick!$M$124:$N$132,2))="ja","ja","nein"),"")</f>
        <v/>
      </c>
      <c r="N349" s="1473"/>
      <c r="O349" s="38">
        <f t="shared" ref="O349" si="153">IF(AND(I349="ja",J349=""),1,0)</f>
        <v>0</v>
      </c>
      <c r="P349" s="44">
        <f t="shared" si="143"/>
        <v>0</v>
      </c>
      <c r="Q349" s="38">
        <f>IF(AND(N349&lt;1,I349="ja"),1,0)</f>
        <v>0</v>
      </c>
      <c r="R349" s="298"/>
      <c r="S349" s="298"/>
      <c r="T349" s="298"/>
      <c r="U349" s="298"/>
      <c r="V349" s="298"/>
      <c r="W349" s="298"/>
      <c r="X349" s="629"/>
      <c r="AD349" s="38"/>
      <c r="AE349" s="38"/>
      <c r="AF349" s="38"/>
      <c r="AG349" s="38"/>
      <c r="AH349" s="38"/>
      <c r="AI349" s="38"/>
      <c r="AJ349" s="38"/>
      <c r="AK349" s="38"/>
      <c r="AL349" s="38"/>
      <c r="AM349" s="38"/>
    </row>
    <row r="350" spans="2:39" ht="14.25" hidden="1" customHeight="1" outlineLevel="1" thickBot="1" x14ac:dyDescent="0.3">
      <c r="B350" s="1476"/>
      <c r="C350" s="1477"/>
      <c r="D350" s="1477"/>
      <c r="E350" s="1477"/>
      <c r="F350" s="1477"/>
      <c r="G350" s="1477"/>
      <c r="H350" s="1477"/>
      <c r="I350" s="1478"/>
      <c r="J350" s="1479"/>
      <c r="K350" s="1359"/>
      <c r="L350" s="1480"/>
      <c r="M350" s="1481"/>
      <c r="N350" s="1482"/>
      <c r="O350" s="38"/>
      <c r="P350" s="44"/>
      <c r="Q350" s="298"/>
      <c r="R350" s="298"/>
      <c r="S350" s="298"/>
      <c r="T350" s="298"/>
      <c r="U350" s="298"/>
      <c r="V350" s="298"/>
      <c r="W350" s="298"/>
      <c r="X350" s="629"/>
      <c r="AD350" s="38"/>
      <c r="AE350" s="38"/>
      <c r="AF350" s="38"/>
      <c r="AG350" s="38"/>
      <c r="AH350" s="38"/>
      <c r="AI350" s="38"/>
      <c r="AJ350" s="38"/>
      <c r="AK350" s="38"/>
      <c r="AL350" s="38"/>
      <c r="AM350" s="38"/>
    </row>
    <row r="351" spans="2:39" ht="14.25" customHeight="1" collapsed="1" x14ac:dyDescent="0.25">
      <c r="B351" s="28"/>
      <c r="C351" s="28"/>
      <c r="D351" s="28"/>
      <c r="E351" s="28"/>
      <c r="F351" s="32"/>
      <c r="G351" s="32"/>
      <c r="H351" s="32"/>
      <c r="I351" s="32"/>
      <c r="J351" s="32"/>
      <c r="K351" s="33"/>
      <c r="L351" s="303">
        <f>SUM(L336:L350)</f>
        <v>0</v>
      </c>
      <c r="M351" s="33"/>
      <c r="N351" s="33"/>
      <c r="O351" s="38">
        <f>SUM(O8:O350)</f>
        <v>1</v>
      </c>
      <c r="P351" s="38">
        <f>IF(SUM(P8:P350)&gt;0,1,0)</f>
        <v>1</v>
      </c>
      <c r="Q351" s="38">
        <f>IF(SUM(Q8:Q350)&gt;0,1,0)</f>
        <v>1</v>
      </c>
      <c r="R351" s="298"/>
      <c r="S351" s="298"/>
      <c r="T351" s="298"/>
      <c r="U351" s="298"/>
      <c r="V351" s="298"/>
      <c r="W351" s="298"/>
      <c r="X351" s="629"/>
      <c r="AD351" s="38"/>
      <c r="AE351" s="38"/>
      <c r="AF351" s="38"/>
      <c r="AG351" s="38"/>
      <c r="AH351" s="38"/>
      <c r="AI351" s="38"/>
      <c r="AJ351" s="38"/>
      <c r="AK351" s="38"/>
      <c r="AL351" s="38"/>
      <c r="AM351" s="38"/>
    </row>
    <row r="352" spans="2:39" ht="14.25" customHeight="1" x14ac:dyDescent="0.25">
      <c r="B352" s="28"/>
      <c r="C352" s="28"/>
      <c r="D352" s="28"/>
      <c r="E352" s="28"/>
      <c r="F352" s="32"/>
      <c r="G352" s="32"/>
      <c r="H352" s="32"/>
      <c r="I352" s="32"/>
      <c r="J352" s="32"/>
      <c r="K352" s="33"/>
      <c r="L352" s="303"/>
      <c r="M352" s="33"/>
      <c r="N352" s="33"/>
      <c r="P352" s="629"/>
      <c r="Q352" s="629"/>
      <c r="R352" s="629"/>
      <c r="S352" s="629"/>
      <c r="T352" s="629"/>
      <c r="U352" s="629"/>
      <c r="V352" s="629"/>
      <c r="W352" s="629"/>
      <c r="X352" s="629"/>
      <c r="AD352" s="38"/>
      <c r="AE352" s="38"/>
      <c r="AF352" s="38"/>
      <c r="AG352" s="38"/>
      <c r="AH352" s="38"/>
      <c r="AI352" s="38"/>
      <c r="AJ352" s="38"/>
      <c r="AK352" s="38"/>
      <c r="AL352" s="38"/>
      <c r="AM352" s="38"/>
    </row>
    <row r="353" spans="1:39" ht="15" customHeight="1" x14ac:dyDescent="0.25">
      <c r="A353" s="357" t="s">
        <v>629</v>
      </c>
      <c r="B353" s="1551" t="str">
        <f>IF(B1=V2,"Honorarvereinbarung für die zunächst beauftragten weiteren Besonderen Leistungen und für die optionalen Besonderen Leistungen","Honorarangebot für die zunächst beauftragten weiteren Besonderen Leistungen und für die optionalen Besonderen Leistungen")</f>
        <v>Honorarangebot für die zunächst beauftragten weiteren Besonderen Leistungen und für die optionalen Besonderen Leistungen</v>
      </c>
      <c r="C353" s="1551"/>
      <c r="D353" s="1551"/>
      <c r="E353" s="1551"/>
      <c r="F353" s="1551"/>
      <c r="G353" s="1551"/>
      <c r="H353" s="1551"/>
      <c r="I353" s="1551"/>
      <c r="J353" s="1551"/>
      <c r="K353" s="33"/>
      <c r="L353" s="33"/>
      <c r="M353" s="33"/>
      <c r="N353" s="33"/>
      <c r="P353" s="629"/>
      <c r="Q353" s="629"/>
      <c r="R353" s="629"/>
      <c r="S353" s="629"/>
      <c r="T353" s="629"/>
      <c r="U353" s="629"/>
      <c r="V353" s="629"/>
      <c r="W353" s="629"/>
      <c r="X353" s="629"/>
      <c r="AD353" s="38"/>
      <c r="AE353" s="38"/>
      <c r="AF353" s="38"/>
      <c r="AG353" s="38"/>
      <c r="AH353" s="38"/>
      <c r="AI353" s="38"/>
      <c r="AJ353" s="38"/>
      <c r="AK353" s="38"/>
      <c r="AL353" s="38"/>
      <c r="AM353" s="38"/>
    </row>
    <row r="354" spans="1:39" x14ac:dyDescent="0.25">
      <c r="B354" s="1551"/>
      <c r="C354" s="1551"/>
      <c r="D354" s="1551"/>
      <c r="E354" s="1551"/>
      <c r="F354" s="1551"/>
      <c r="G354" s="1551"/>
      <c r="H354" s="1551"/>
      <c r="I354" s="1551"/>
      <c r="J354" s="1551"/>
      <c r="K354" s="33"/>
      <c r="L354" s="33"/>
      <c r="M354" s="33"/>
      <c r="N354" s="33"/>
      <c r="P354" s="629"/>
      <c r="Q354" s="629"/>
      <c r="R354" s="629"/>
      <c r="S354" s="629"/>
      <c r="T354" s="629"/>
      <c r="U354" s="629"/>
      <c r="V354" s="629"/>
      <c r="W354" s="629"/>
      <c r="X354" s="629"/>
      <c r="AD354" s="38"/>
      <c r="AE354" s="38"/>
      <c r="AF354" s="38"/>
      <c r="AG354" s="38"/>
      <c r="AH354" s="38"/>
      <c r="AI354" s="38"/>
      <c r="AJ354" s="38"/>
      <c r="AK354" s="38"/>
      <c r="AL354" s="38"/>
      <c r="AM354" s="38"/>
    </row>
    <row r="355" spans="1:39" ht="15" customHeight="1" thickBot="1" x14ac:dyDescent="0.3">
      <c r="B355" s="28"/>
      <c r="C355" s="28"/>
      <c r="D355" s="28"/>
      <c r="E355" s="28"/>
      <c r="F355" s="32"/>
      <c r="G355" s="32"/>
      <c r="H355" s="32"/>
      <c r="I355" s="32"/>
      <c r="J355" s="32"/>
      <c r="K355" s="33"/>
      <c r="L355" s="33"/>
      <c r="M355" s="33"/>
      <c r="N355" s="33"/>
      <c r="P355" s="629"/>
      <c r="Q355" s="629"/>
      <c r="R355" s="629"/>
      <c r="S355" s="629"/>
      <c r="T355" s="629"/>
      <c r="U355" s="629"/>
      <c r="V355" s="629"/>
      <c r="W355" s="629"/>
      <c r="X355" s="629"/>
      <c r="AD355" s="38"/>
      <c r="AE355" s="38"/>
      <c r="AF355" s="38"/>
      <c r="AG355" s="38"/>
      <c r="AH355" s="38"/>
      <c r="AI355" s="38"/>
      <c r="AJ355" s="38"/>
      <c r="AK355" s="38"/>
      <c r="AL355" s="38"/>
      <c r="AM355" s="38"/>
    </row>
    <row r="356" spans="1:39" x14ac:dyDescent="0.25">
      <c r="B356" s="65"/>
      <c r="C356" s="66"/>
      <c r="D356" s="66"/>
      <c r="E356" s="66"/>
      <c r="F356" s="125"/>
      <c r="G356" s="180"/>
      <c r="H356" s="65"/>
      <c r="I356" s="15"/>
      <c r="J356" s="67"/>
      <c r="K356" s="33"/>
      <c r="L356" s="33"/>
      <c r="M356" s="33"/>
      <c r="N356" s="33"/>
      <c r="P356" s="629"/>
      <c r="Q356" s="629"/>
      <c r="R356" s="629"/>
      <c r="S356" s="629"/>
      <c r="T356" s="629"/>
      <c r="U356" s="629"/>
      <c r="V356" s="629"/>
      <c r="W356" s="629"/>
      <c r="X356" s="629"/>
      <c r="AD356" s="38"/>
      <c r="AE356" s="38"/>
      <c r="AF356" s="38"/>
      <c r="AG356" s="38"/>
      <c r="AH356" s="38"/>
      <c r="AI356" s="38"/>
      <c r="AJ356" s="38"/>
      <c r="AK356" s="38"/>
      <c r="AL356" s="38"/>
      <c r="AM356" s="38"/>
    </row>
    <row r="357" spans="1:39" ht="15" customHeight="1" x14ac:dyDescent="0.25">
      <c r="B357" s="692" t="s">
        <v>630</v>
      </c>
      <c r="C357" s="693"/>
      <c r="D357" s="693"/>
      <c r="E357" s="693"/>
      <c r="F357" s="694"/>
      <c r="G357" s="195"/>
      <c r="H357" s="1552">
        <f>L182+L164+L145+L133+L116+L70+L332+L351</f>
        <v>0</v>
      </c>
      <c r="I357" s="889"/>
      <c r="J357" s="890"/>
      <c r="K357" s="33"/>
      <c r="L357" s="33"/>
      <c r="M357" s="33"/>
      <c r="N357" s="33"/>
      <c r="P357" s="629"/>
      <c r="Q357" s="629"/>
      <c r="R357" s="629"/>
      <c r="S357" s="629"/>
      <c r="T357" s="629"/>
      <c r="U357" s="629"/>
      <c r="V357" s="629"/>
      <c r="W357" s="629"/>
      <c r="X357" s="629"/>
      <c r="AD357" s="38"/>
      <c r="AE357" s="38"/>
      <c r="AF357" s="38"/>
      <c r="AG357" s="38"/>
      <c r="AH357" s="38"/>
      <c r="AI357" s="38"/>
      <c r="AJ357" s="38"/>
      <c r="AK357" s="38"/>
      <c r="AL357" s="38"/>
      <c r="AM357" s="38"/>
    </row>
    <row r="358" spans="1:39" ht="14.55" thickBot="1" x14ac:dyDescent="0.3">
      <c r="B358" s="212"/>
      <c r="C358" s="126"/>
      <c r="D358" s="126"/>
      <c r="E358" s="126"/>
      <c r="F358" s="127"/>
      <c r="G358" s="196"/>
      <c r="H358" s="217"/>
      <c r="I358" s="126"/>
      <c r="J358" s="127"/>
      <c r="K358" s="33"/>
      <c r="L358" s="33"/>
      <c r="M358" s="33"/>
      <c r="N358" s="33"/>
      <c r="P358" s="629"/>
      <c r="Q358" s="629"/>
      <c r="R358" s="629"/>
      <c r="S358" s="629"/>
      <c r="T358" s="629"/>
      <c r="U358" s="629"/>
      <c r="V358" s="629"/>
      <c r="W358" s="629"/>
      <c r="X358" s="629"/>
      <c r="AD358" s="38"/>
      <c r="AE358" s="38"/>
      <c r="AF358" s="38"/>
      <c r="AG358" s="38"/>
      <c r="AH358" s="38"/>
      <c r="AI358" s="38"/>
      <c r="AJ358" s="38"/>
      <c r="AK358" s="38"/>
      <c r="AL358" s="38"/>
      <c r="AM358" s="38"/>
    </row>
    <row r="359" spans="1:39" ht="15" customHeight="1" x14ac:dyDescent="0.25">
      <c r="B359" s="53"/>
      <c r="C359" s="54"/>
      <c r="D359" s="54"/>
      <c r="E359" s="54"/>
      <c r="F359" s="55"/>
      <c r="G359" s="195"/>
      <c r="H359" s="238"/>
      <c r="I359" s="15"/>
      <c r="J359" s="194"/>
      <c r="K359" s="33"/>
      <c r="L359" s="33"/>
      <c r="M359" s="33"/>
      <c r="N359" s="33"/>
      <c r="P359" s="629"/>
      <c r="Q359" s="629"/>
      <c r="R359" s="629"/>
      <c r="S359" s="629"/>
      <c r="T359" s="629"/>
      <c r="U359" s="629"/>
      <c r="V359" s="629"/>
      <c r="W359" s="629"/>
      <c r="X359" s="629"/>
      <c r="AD359" s="38"/>
      <c r="AE359" s="38"/>
      <c r="AF359" s="38"/>
      <c r="AG359" s="38"/>
      <c r="AH359" s="38"/>
      <c r="AI359" s="38"/>
      <c r="AJ359" s="38"/>
      <c r="AK359" s="38"/>
      <c r="AL359" s="38"/>
      <c r="AM359" s="38"/>
    </row>
    <row r="360" spans="1:39" ht="15" customHeight="1" x14ac:dyDescent="0.25">
      <c r="B360" s="715" t="s">
        <v>98</v>
      </c>
      <c r="C360" s="716"/>
      <c r="D360" s="716"/>
      <c r="E360" s="716"/>
      <c r="F360" s="717"/>
      <c r="G360" s="260">
        <f>Überblick!$G$97</f>
        <v>0.19</v>
      </c>
      <c r="H360" s="1529">
        <f>H357*G360</f>
        <v>0</v>
      </c>
      <c r="I360" s="1530"/>
      <c r="J360" s="1531"/>
      <c r="K360" s="33"/>
      <c r="L360" s="33"/>
      <c r="M360" s="33"/>
      <c r="N360" s="33"/>
      <c r="P360" s="629"/>
      <c r="Q360" s="629"/>
      <c r="R360" s="629"/>
      <c r="S360" s="629"/>
      <c r="T360" s="629"/>
      <c r="U360" s="629"/>
      <c r="V360" s="629"/>
      <c r="W360" s="629"/>
      <c r="X360" s="629"/>
      <c r="AD360" s="38"/>
      <c r="AE360" s="38"/>
      <c r="AF360" s="38"/>
      <c r="AG360" s="38"/>
      <c r="AH360" s="38"/>
      <c r="AI360" s="38"/>
      <c r="AJ360" s="38"/>
      <c r="AK360" s="38"/>
      <c r="AL360" s="38"/>
      <c r="AM360" s="38"/>
    </row>
    <row r="361" spans="1:39" ht="15" customHeight="1" thickBot="1" x14ac:dyDescent="0.3">
      <c r="B361" s="226"/>
      <c r="C361" s="227"/>
      <c r="D361" s="227"/>
      <c r="E361" s="227"/>
      <c r="F361" s="228"/>
      <c r="G361" s="185"/>
      <c r="H361" s="241"/>
      <c r="I361" s="188"/>
      <c r="J361" s="221"/>
      <c r="K361" s="33"/>
      <c r="L361" s="33"/>
      <c r="M361" s="33"/>
      <c r="N361" s="33"/>
      <c r="P361" s="629"/>
      <c r="Q361" s="629"/>
      <c r="R361" s="629"/>
      <c r="S361" s="629"/>
      <c r="T361" s="629"/>
      <c r="U361" s="629"/>
      <c r="V361" s="629"/>
      <c r="W361" s="629"/>
      <c r="X361" s="629"/>
      <c r="AD361" s="38"/>
      <c r="AE361" s="38"/>
      <c r="AF361" s="38"/>
      <c r="AG361" s="38"/>
      <c r="AH361" s="38"/>
      <c r="AI361" s="38"/>
      <c r="AJ361" s="38"/>
      <c r="AK361" s="38"/>
      <c r="AL361" s="38"/>
      <c r="AM361" s="38"/>
    </row>
    <row r="362" spans="1:39" ht="15" customHeight="1" x14ac:dyDescent="0.25">
      <c r="B362" s="738" t="s">
        <v>103</v>
      </c>
      <c r="C362" s="739"/>
      <c r="D362" s="739"/>
      <c r="E362" s="739"/>
      <c r="F362" s="740"/>
      <c r="G362" s="198"/>
      <c r="H362" s="178"/>
      <c r="I362" s="179"/>
      <c r="J362" s="193"/>
      <c r="K362" s="33"/>
      <c r="L362" s="33"/>
      <c r="M362" s="33"/>
      <c r="N362" s="33"/>
      <c r="P362" s="629"/>
      <c r="Q362" s="629"/>
      <c r="R362" s="629"/>
      <c r="S362" s="629"/>
      <c r="T362" s="629"/>
      <c r="U362" s="629"/>
      <c r="V362" s="629"/>
      <c r="W362" s="629"/>
      <c r="X362" s="629"/>
      <c r="AD362" s="38"/>
      <c r="AE362" s="38"/>
      <c r="AF362" s="38"/>
      <c r="AG362" s="38"/>
      <c r="AH362" s="38"/>
      <c r="AI362" s="38"/>
      <c r="AJ362" s="38"/>
      <c r="AK362" s="38"/>
      <c r="AL362" s="38"/>
      <c r="AM362" s="38"/>
    </row>
    <row r="363" spans="1:39" ht="15" customHeight="1" thickBot="1" x14ac:dyDescent="0.3">
      <c r="B363" s="741"/>
      <c r="C363" s="742"/>
      <c r="D363" s="742"/>
      <c r="E363" s="742"/>
      <c r="F363" s="743"/>
      <c r="G363" s="199"/>
      <c r="H363" s="1532">
        <f>H357+H360</f>
        <v>0</v>
      </c>
      <c r="I363" s="1533"/>
      <c r="J363" s="1534"/>
      <c r="K363" s="33"/>
      <c r="L363" s="33"/>
      <c r="M363" s="33"/>
      <c r="N363" s="33"/>
      <c r="P363" s="629"/>
      <c r="Q363" s="629"/>
      <c r="R363" s="629"/>
      <c r="S363" s="629"/>
      <c r="T363" s="629"/>
      <c r="U363" s="629"/>
      <c r="V363" s="629"/>
      <c r="W363" s="629"/>
      <c r="X363" s="629"/>
      <c r="AD363" s="38"/>
      <c r="AE363" s="38"/>
      <c r="AF363" s="38"/>
      <c r="AG363" s="38"/>
      <c r="AH363" s="38"/>
      <c r="AI363" s="38"/>
      <c r="AJ363" s="38"/>
      <c r="AK363" s="38"/>
      <c r="AL363" s="38"/>
      <c r="AM363" s="38"/>
    </row>
    <row r="364" spans="1:39" ht="15" customHeight="1" x14ac:dyDescent="0.25">
      <c r="B364" s="28"/>
      <c r="C364" s="28"/>
      <c r="D364" s="28"/>
      <c r="E364" s="28"/>
      <c r="F364" s="32"/>
      <c r="G364" s="32"/>
      <c r="H364" s="32"/>
      <c r="I364" s="32"/>
      <c r="J364" s="32"/>
      <c r="K364" s="33"/>
      <c r="L364" s="33"/>
      <c r="M364" s="33"/>
      <c r="N364" s="33"/>
      <c r="P364" s="629"/>
      <c r="Q364" s="629"/>
      <c r="R364" s="629"/>
      <c r="S364" s="629"/>
      <c r="T364" s="629"/>
      <c r="U364" s="629"/>
      <c r="V364" s="629"/>
      <c r="W364" s="629"/>
      <c r="X364" s="629"/>
      <c r="AD364" s="38"/>
      <c r="AE364" s="38"/>
      <c r="AF364" s="38"/>
      <c r="AG364" s="38"/>
      <c r="AH364" s="38"/>
      <c r="AI364" s="38"/>
      <c r="AJ364" s="38"/>
      <c r="AK364" s="38"/>
      <c r="AL364" s="38"/>
      <c r="AM364" s="38"/>
    </row>
    <row r="365" spans="1:39" ht="15" customHeight="1" x14ac:dyDescent="0.25">
      <c r="A365" s="357" t="s">
        <v>631</v>
      </c>
      <c r="B365" s="28" t="str">
        <f>IF(B1=V2,"Honorarvereinbarung für die zunächst beauftragenden weiteren Besonderen Leistungen","Honorangebot für die zunächst beauftragenden weiteren Besonderen Leistungen ")</f>
        <v xml:space="preserve">Honorangebot für die zunächst beauftragenden weiteren Besonderen Leistungen </v>
      </c>
      <c r="C365" s="28"/>
      <c r="D365" s="28"/>
      <c r="E365" s="28"/>
      <c r="F365" s="32"/>
      <c r="G365" s="32"/>
      <c r="H365" s="32"/>
      <c r="I365" s="32"/>
      <c r="J365" s="32"/>
      <c r="K365" s="33"/>
      <c r="L365" s="33"/>
      <c r="M365" s="33"/>
      <c r="N365" s="33"/>
      <c r="P365" s="629"/>
      <c r="Q365" s="629"/>
      <c r="R365" s="629"/>
      <c r="S365" s="629"/>
      <c r="T365" s="629"/>
      <c r="U365" s="629"/>
      <c r="V365" s="629"/>
      <c r="W365" s="629"/>
      <c r="X365" s="629"/>
      <c r="AD365" s="38"/>
      <c r="AE365" s="38"/>
      <c r="AF365" s="38"/>
      <c r="AG365" s="38"/>
      <c r="AH365" s="38"/>
      <c r="AI365" s="38"/>
      <c r="AJ365" s="38"/>
      <c r="AK365" s="38"/>
      <c r="AL365" s="38"/>
      <c r="AM365" s="38"/>
    </row>
    <row r="366" spans="1:39" ht="15" customHeight="1" thickBot="1" x14ac:dyDescent="0.3">
      <c r="B366" s="28"/>
      <c r="C366" s="28"/>
      <c r="D366" s="28"/>
      <c r="E366" s="28"/>
      <c r="F366" s="32"/>
      <c r="G366" s="32"/>
      <c r="H366" s="32"/>
      <c r="I366" s="32"/>
      <c r="J366" s="32"/>
      <c r="K366" s="33"/>
      <c r="L366" s="33"/>
      <c r="M366" s="33"/>
      <c r="N366" s="33"/>
      <c r="P366" s="629"/>
      <c r="Q366" s="629"/>
      <c r="R366" s="629"/>
      <c r="S366" s="629"/>
      <c r="T366" s="629"/>
      <c r="U366" s="629"/>
      <c r="V366" s="629"/>
      <c r="W366" s="629"/>
      <c r="X366" s="629"/>
      <c r="AD366" s="38"/>
      <c r="AE366" s="38"/>
      <c r="AF366" s="38"/>
      <c r="AG366" s="38"/>
      <c r="AH366" s="38"/>
      <c r="AI366" s="38"/>
      <c r="AJ366" s="38"/>
      <c r="AK366" s="38"/>
      <c r="AL366" s="38"/>
      <c r="AM366" s="38"/>
    </row>
    <row r="367" spans="1:39" x14ac:dyDescent="0.25">
      <c r="B367" s="65"/>
      <c r="C367" s="66"/>
      <c r="D367" s="66"/>
      <c r="E367" s="66"/>
      <c r="F367" s="125"/>
      <c r="G367" s="180"/>
      <c r="H367" s="65"/>
      <c r="I367" s="15"/>
      <c r="J367" s="67"/>
      <c r="K367" s="191"/>
      <c r="L367" s="16"/>
      <c r="M367" s="16"/>
      <c r="N367" s="33"/>
      <c r="O367" s="629"/>
      <c r="P367" s="629"/>
      <c r="Q367" s="629"/>
      <c r="R367" s="629"/>
      <c r="S367" s="629"/>
      <c r="T367" s="629"/>
      <c r="U367" s="629"/>
      <c r="V367" s="629"/>
      <c r="W367" s="629"/>
      <c r="X367" s="629"/>
      <c r="AD367" s="38"/>
      <c r="AE367" s="38"/>
      <c r="AF367" s="38"/>
      <c r="AG367" s="38"/>
      <c r="AH367" s="38"/>
      <c r="AI367" s="38"/>
      <c r="AJ367" s="38"/>
      <c r="AK367" s="38"/>
      <c r="AL367" s="38"/>
      <c r="AM367" s="38"/>
    </row>
    <row r="368" spans="1:39" x14ac:dyDescent="0.25">
      <c r="B368" s="692" t="s">
        <v>630</v>
      </c>
      <c r="C368" s="693"/>
      <c r="D368" s="693"/>
      <c r="E368" s="693"/>
      <c r="F368" s="694"/>
      <c r="G368" s="195"/>
      <c r="H368" s="1552">
        <f>'Berechnung besondere Leistungen'!Z71</f>
        <v>0</v>
      </c>
      <c r="I368" s="889"/>
      <c r="J368" s="890"/>
      <c r="K368" s="191"/>
      <c r="L368" s="16"/>
      <c r="M368" s="16"/>
      <c r="N368" s="33"/>
      <c r="O368" s="629"/>
      <c r="P368" s="629"/>
      <c r="Q368" s="629"/>
      <c r="R368" s="629"/>
      <c r="S368" s="629"/>
      <c r="T368" s="629"/>
      <c r="U368" s="629"/>
      <c r="V368" s="629"/>
      <c r="W368" s="629"/>
      <c r="X368" s="629"/>
      <c r="AD368" s="38"/>
      <c r="AE368" s="38"/>
      <c r="AF368" s="38"/>
      <c r="AG368" s="38"/>
      <c r="AH368" s="38"/>
      <c r="AI368" s="38"/>
      <c r="AJ368" s="38"/>
      <c r="AK368" s="38"/>
      <c r="AL368" s="38"/>
      <c r="AM368" s="38"/>
    </row>
    <row r="369" spans="1:39" ht="14.55" thickBot="1" x14ac:dyDescent="0.3">
      <c r="B369" s="212"/>
      <c r="C369" s="126"/>
      <c r="D369" s="126"/>
      <c r="E369" s="126"/>
      <c r="F369" s="127"/>
      <c r="G369" s="196"/>
      <c r="H369" s="217"/>
      <c r="I369" s="126"/>
      <c r="J369" s="127"/>
      <c r="K369" s="191"/>
      <c r="L369" s="16"/>
      <c r="M369" s="16"/>
      <c r="N369" s="33"/>
      <c r="O369" s="629"/>
      <c r="P369" s="629"/>
      <c r="Q369" s="629"/>
      <c r="R369" s="629"/>
      <c r="S369" s="629"/>
      <c r="T369" s="629"/>
      <c r="U369" s="629"/>
      <c r="V369" s="629"/>
      <c r="W369" s="629"/>
      <c r="X369" s="629"/>
      <c r="AD369" s="38"/>
      <c r="AE369" s="38"/>
      <c r="AF369" s="38"/>
      <c r="AG369" s="38"/>
      <c r="AH369" s="38"/>
      <c r="AI369" s="38"/>
      <c r="AJ369" s="38"/>
      <c r="AK369" s="38"/>
      <c r="AL369" s="38"/>
      <c r="AM369" s="38"/>
    </row>
    <row r="370" spans="1:39" x14ac:dyDescent="0.25">
      <c r="B370" s="53"/>
      <c r="C370" s="54"/>
      <c r="D370" s="54"/>
      <c r="E370" s="54"/>
      <c r="F370" s="55"/>
      <c r="G370" s="195"/>
      <c r="H370" s="238"/>
      <c r="I370" s="15"/>
      <c r="J370" s="194"/>
      <c r="K370" s="191"/>
      <c r="L370" s="16"/>
      <c r="M370" s="16"/>
      <c r="N370" s="33"/>
      <c r="O370" s="629"/>
      <c r="P370" s="629"/>
      <c r="Q370" s="629"/>
      <c r="R370" s="629"/>
      <c r="S370" s="629"/>
      <c r="T370" s="629"/>
      <c r="U370" s="629"/>
      <c r="V370" s="629"/>
      <c r="W370" s="629"/>
      <c r="X370" s="629"/>
      <c r="AD370" s="38"/>
      <c r="AE370" s="38"/>
      <c r="AF370" s="38"/>
      <c r="AG370" s="38"/>
      <c r="AH370" s="38"/>
      <c r="AI370" s="38"/>
      <c r="AJ370" s="38"/>
      <c r="AK370" s="38"/>
      <c r="AL370" s="38"/>
      <c r="AM370" s="38"/>
    </row>
    <row r="371" spans="1:39" ht="15" customHeight="1" x14ac:dyDescent="0.25">
      <c r="B371" s="715" t="s">
        <v>98</v>
      </c>
      <c r="C371" s="716"/>
      <c r="D371" s="716"/>
      <c r="E371" s="716"/>
      <c r="F371" s="717"/>
      <c r="G371" s="260">
        <f>Überblick!$G$97</f>
        <v>0.19</v>
      </c>
      <c r="H371" s="1529">
        <f>H368*G371</f>
        <v>0</v>
      </c>
      <c r="I371" s="1530"/>
      <c r="J371" s="1531"/>
      <c r="K371" s="191"/>
      <c r="L371" s="16"/>
      <c r="M371" s="16"/>
      <c r="N371" s="33"/>
      <c r="O371" s="629"/>
      <c r="P371" s="629"/>
      <c r="Q371" s="629"/>
      <c r="R371" s="629"/>
      <c r="S371" s="629"/>
      <c r="T371" s="629"/>
      <c r="U371" s="629"/>
      <c r="V371" s="629"/>
      <c r="W371" s="629"/>
      <c r="X371" s="629"/>
      <c r="AD371" s="38"/>
      <c r="AE371" s="38"/>
      <c r="AF371" s="38"/>
      <c r="AG371" s="38"/>
      <c r="AH371" s="38"/>
      <c r="AI371" s="38"/>
      <c r="AJ371" s="38"/>
      <c r="AK371" s="38"/>
      <c r="AL371" s="38"/>
      <c r="AM371" s="38"/>
    </row>
    <row r="372" spans="1:39" ht="14.55" thickBot="1" x14ac:dyDescent="0.3">
      <c r="B372" s="226"/>
      <c r="C372" s="227"/>
      <c r="D372" s="227"/>
      <c r="E372" s="227"/>
      <c r="F372" s="228"/>
      <c r="G372" s="185"/>
      <c r="H372" s="241"/>
      <c r="I372" s="188"/>
      <c r="J372" s="221"/>
      <c r="K372" s="191"/>
      <c r="L372" s="16"/>
      <c r="M372" s="16"/>
      <c r="N372" s="33"/>
      <c r="O372" s="629"/>
      <c r="P372" s="629"/>
      <c r="Q372" s="629"/>
      <c r="R372" s="629"/>
      <c r="S372" s="629"/>
      <c r="T372" s="629"/>
      <c r="U372" s="629"/>
      <c r="V372" s="629"/>
      <c r="W372" s="629"/>
      <c r="X372" s="629"/>
      <c r="AD372" s="38"/>
      <c r="AE372" s="38"/>
      <c r="AF372" s="38"/>
      <c r="AG372" s="38"/>
      <c r="AH372" s="38"/>
      <c r="AI372" s="38"/>
      <c r="AJ372" s="38"/>
      <c r="AK372" s="38"/>
      <c r="AL372" s="38"/>
      <c r="AM372" s="38"/>
    </row>
    <row r="373" spans="1:39" ht="15" customHeight="1" x14ac:dyDescent="0.25">
      <c r="B373" s="738" t="s">
        <v>103</v>
      </c>
      <c r="C373" s="739"/>
      <c r="D373" s="739"/>
      <c r="E373" s="739"/>
      <c r="F373" s="740"/>
      <c r="G373" s="198"/>
      <c r="H373" s="178"/>
      <c r="I373" s="179"/>
      <c r="J373" s="193"/>
      <c r="K373" s="191"/>
      <c r="L373" s="16"/>
      <c r="M373" s="16"/>
      <c r="N373" s="33"/>
      <c r="O373" s="629"/>
      <c r="P373" s="629"/>
      <c r="Q373" s="629"/>
      <c r="R373" s="629"/>
      <c r="S373" s="629"/>
      <c r="T373" s="629"/>
      <c r="U373" s="629"/>
      <c r="V373" s="629"/>
      <c r="W373" s="629"/>
      <c r="X373" s="629"/>
      <c r="AD373" s="38"/>
      <c r="AE373" s="38"/>
      <c r="AF373" s="38"/>
      <c r="AG373" s="38"/>
      <c r="AH373" s="38"/>
      <c r="AI373" s="38"/>
      <c r="AJ373" s="38"/>
      <c r="AK373" s="38"/>
      <c r="AL373" s="38"/>
      <c r="AM373" s="38"/>
    </row>
    <row r="374" spans="1:39" ht="14.55" thickBot="1" x14ac:dyDescent="0.3">
      <c r="B374" s="741"/>
      <c r="C374" s="742"/>
      <c r="D374" s="742"/>
      <c r="E374" s="742"/>
      <c r="F374" s="743"/>
      <c r="G374" s="199"/>
      <c r="H374" s="1532">
        <f>H368+H371</f>
        <v>0</v>
      </c>
      <c r="I374" s="1533"/>
      <c r="J374" s="1534"/>
      <c r="K374" s="191"/>
      <c r="L374" s="16"/>
      <c r="M374" s="16"/>
      <c r="N374" s="33"/>
      <c r="O374" s="629"/>
      <c r="P374" s="629"/>
      <c r="Q374" s="629"/>
      <c r="R374" s="629"/>
      <c r="S374" s="629"/>
      <c r="T374" s="629"/>
      <c r="U374" s="629"/>
      <c r="V374" s="629"/>
      <c r="W374" s="629"/>
      <c r="X374" s="629"/>
      <c r="AD374" s="38"/>
      <c r="AE374" s="38"/>
      <c r="AF374" s="38"/>
      <c r="AG374" s="38"/>
      <c r="AH374" s="38"/>
      <c r="AI374" s="38"/>
      <c r="AJ374" s="38"/>
      <c r="AK374" s="38"/>
      <c r="AL374" s="38"/>
      <c r="AM374" s="38"/>
    </row>
    <row r="375" spans="1:39" x14ac:dyDescent="0.25">
      <c r="B375" s="28"/>
      <c r="C375" s="28"/>
      <c r="D375" s="28"/>
      <c r="E375" s="28"/>
      <c r="F375" s="32"/>
      <c r="G375" s="32"/>
      <c r="H375" s="32"/>
      <c r="I375" s="32"/>
      <c r="J375" s="32"/>
      <c r="K375" s="33"/>
      <c r="L375" s="33"/>
      <c r="M375" s="33"/>
      <c r="N375" s="33"/>
      <c r="O375" s="629"/>
      <c r="P375" s="629"/>
      <c r="Q375" s="629"/>
      <c r="R375" s="629"/>
      <c r="S375" s="629"/>
      <c r="T375" s="629"/>
      <c r="U375" s="629"/>
      <c r="V375" s="629"/>
      <c r="W375" s="629"/>
      <c r="X375" s="629"/>
      <c r="AD375" s="38"/>
      <c r="AE375" s="38"/>
      <c r="AF375" s="38"/>
      <c r="AG375" s="38"/>
      <c r="AH375" s="38"/>
      <c r="AI375" s="38"/>
      <c r="AJ375" s="38"/>
      <c r="AK375" s="38"/>
      <c r="AL375" s="38"/>
      <c r="AM375" s="38"/>
    </row>
    <row r="376" spans="1:39" ht="15" customHeight="1" x14ac:dyDescent="0.25">
      <c r="A376" s="357" t="s">
        <v>300</v>
      </c>
      <c r="B376" s="9" t="str">
        <f>IF(B1=V2,"Gemäß der Honorarvereinbarung werden die Stufen wie folgt vergütet (netto): ","Gemäß des Honorarangebotes werden die Stufen wie folgt vergütet (netto): ")</f>
        <v xml:space="preserve">Gemäß des Honorarangebotes werden die Stufen wie folgt vergütet (netto): </v>
      </c>
      <c r="C376" s="9"/>
      <c r="D376" s="9"/>
      <c r="E376" s="9"/>
      <c r="F376" s="9"/>
      <c r="G376" s="9"/>
      <c r="H376" s="9"/>
      <c r="I376" s="9"/>
      <c r="J376" s="9"/>
      <c r="K376" s="9"/>
      <c r="L376" s="9"/>
      <c r="M376" s="9"/>
      <c r="N376" s="9"/>
      <c r="O376" s="619"/>
      <c r="P376" s="629"/>
      <c r="Q376" s="629"/>
      <c r="R376" s="371"/>
      <c r="S376" s="629"/>
      <c r="T376" s="629"/>
      <c r="U376" s="629"/>
      <c r="V376" s="629"/>
      <c r="W376" s="629"/>
      <c r="X376" s="629"/>
    </row>
    <row r="377" spans="1:39" ht="14.55" thickBot="1" x14ac:dyDescent="0.3">
      <c r="B377" s="28"/>
      <c r="C377" s="28"/>
      <c r="D377" s="28"/>
      <c r="E377" s="28"/>
      <c r="F377" s="32"/>
      <c r="G377" s="32"/>
      <c r="H377" s="32"/>
      <c r="I377" s="32"/>
      <c r="J377" s="32"/>
      <c r="K377" s="33"/>
      <c r="L377" s="33"/>
      <c r="M377" s="33"/>
      <c r="N377" s="33"/>
      <c r="O377" s="629"/>
      <c r="P377" s="629"/>
      <c r="Q377" s="629"/>
      <c r="R377" s="371"/>
      <c r="S377" s="629"/>
      <c r="T377" s="629"/>
      <c r="U377" s="629"/>
      <c r="V377" s="629"/>
      <c r="W377" s="629"/>
      <c r="X377" s="629"/>
    </row>
    <row r="378" spans="1:39" ht="15" customHeight="1" x14ac:dyDescent="0.25">
      <c r="B378" s="1615" t="s">
        <v>115</v>
      </c>
      <c r="C378" s="1611" t="s">
        <v>475</v>
      </c>
      <c r="D378" s="1612"/>
      <c r="E378" s="28"/>
      <c r="F378" s="32"/>
      <c r="G378" s="32"/>
      <c r="H378" s="32"/>
      <c r="I378" s="32"/>
      <c r="J378" s="32"/>
      <c r="K378" s="33"/>
      <c r="L378" s="33"/>
      <c r="M378" s="33"/>
      <c r="N378" s="33"/>
      <c r="O378" s="629"/>
      <c r="P378" s="629"/>
      <c r="Q378" s="629"/>
      <c r="R378" s="371"/>
      <c r="S378" s="629"/>
      <c r="T378" s="629"/>
      <c r="U378" s="629"/>
      <c r="V378" s="629"/>
      <c r="W378" s="629"/>
      <c r="X378" s="629"/>
    </row>
    <row r="379" spans="1:39" ht="15.95" customHeight="1" thickBot="1" x14ac:dyDescent="0.3">
      <c r="B379" s="1616"/>
      <c r="C379" s="1613"/>
      <c r="D379" s="1614"/>
      <c r="E379" s="168"/>
      <c r="F379" s="168"/>
      <c r="G379" s="168"/>
      <c r="H379" s="168"/>
      <c r="I379" s="169"/>
      <c r="J379" s="169"/>
      <c r="K379" s="128"/>
      <c r="L379" s="128"/>
      <c r="M379" s="128"/>
      <c r="N379" s="128"/>
      <c r="O379" s="631"/>
      <c r="P379" s="129"/>
      <c r="Q379" s="129"/>
      <c r="R379" s="129"/>
      <c r="S379" s="129"/>
      <c r="T379" s="629"/>
      <c r="U379" s="629"/>
      <c r="V379" s="629"/>
      <c r="W379" s="629"/>
      <c r="X379" s="629"/>
    </row>
    <row r="380" spans="1:39" x14ac:dyDescent="0.25">
      <c r="A380" s="358"/>
      <c r="B380" s="104" t="str">
        <f>IF(Überblick!$H$53&gt;=1,"1:",0)</f>
        <v>1:</v>
      </c>
      <c r="C380" s="1617">
        <f>'Berechnung besondere Leistungen'!C239</f>
        <v>0</v>
      </c>
      <c r="D380" s="1617"/>
      <c r="E380" s="108"/>
      <c r="F380" s="108"/>
      <c r="G380" s="108"/>
      <c r="H380" s="108"/>
      <c r="I380" s="108"/>
      <c r="J380" s="108"/>
      <c r="K380" s="108"/>
      <c r="L380" s="108"/>
      <c r="M380" s="108"/>
      <c r="N380" s="108"/>
      <c r="O380" s="632"/>
      <c r="P380" s="632"/>
      <c r="Q380" s="632"/>
      <c r="R380" s="632"/>
      <c r="S380" s="632"/>
      <c r="T380" s="382">
        <f>SUM(C380:S380)</f>
        <v>0</v>
      </c>
      <c r="V380" s="31"/>
      <c r="W380" s="31"/>
      <c r="X380" s="31"/>
    </row>
    <row r="381" spans="1:39" ht="15.95" customHeight="1" x14ac:dyDescent="0.25">
      <c r="A381" s="358"/>
      <c r="B381" s="104" t="str">
        <f>IF(Überblick!$H$53&gt;=2,"2:",0)</f>
        <v>2:</v>
      </c>
      <c r="C381" s="1565">
        <f>'Berechnung besondere Leistungen'!C240</f>
        <v>0</v>
      </c>
      <c r="D381" s="1565"/>
      <c r="E381" s="108"/>
      <c r="F381" s="108"/>
      <c r="G381" s="108"/>
      <c r="H381" s="108"/>
      <c r="I381" s="108"/>
      <c r="J381" s="108"/>
      <c r="K381" s="108"/>
      <c r="L381" s="108"/>
      <c r="M381" s="108"/>
      <c r="N381" s="108"/>
      <c r="O381" s="632"/>
      <c r="P381" s="632"/>
      <c r="Q381" s="632"/>
      <c r="R381" s="632"/>
      <c r="S381" s="632"/>
      <c r="T381" s="382">
        <f t="shared" ref="T381:T387" si="154">SUM(C381:S381)</f>
        <v>0</v>
      </c>
    </row>
    <row r="382" spans="1:39" x14ac:dyDescent="0.25">
      <c r="A382" s="27"/>
      <c r="B382" s="104" t="str">
        <f>IF(Überblick!$H$53&gt;=3,"3:",0)</f>
        <v>3:</v>
      </c>
      <c r="C382" s="1565">
        <f>'Berechnung besondere Leistungen'!C241</f>
        <v>0</v>
      </c>
      <c r="D382" s="1565"/>
      <c r="E382" s="108"/>
      <c r="F382" s="108"/>
      <c r="G382" s="108"/>
      <c r="H382" s="108"/>
      <c r="I382" s="108"/>
      <c r="J382" s="108"/>
      <c r="K382" s="108"/>
      <c r="L382" s="108"/>
      <c r="M382" s="108"/>
      <c r="N382" s="108"/>
      <c r="O382" s="632"/>
      <c r="P382" s="632"/>
      <c r="Q382" s="632"/>
      <c r="R382" s="632"/>
      <c r="S382" s="632"/>
      <c r="T382" s="382">
        <f t="shared" si="154"/>
        <v>0</v>
      </c>
    </row>
    <row r="383" spans="1:39" ht="15" customHeight="1" x14ac:dyDescent="0.25">
      <c r="B383" s="104">
        <f>IF(Überblick!$H$53&gt;=4,"4:",0)</f>
        <v>0</v>
      </c>
      <c r="C383" s="1565">
        <f>'Berechnung besondere Leistungen'!C242</f>
        <v>0</v>
      </c>
      <c r="D383" s="1565"/>
      <c r="E383" s="108"/>
      <c r="F383" s="108"/>
      <c r="G383" s="108"/>
      <c r="H383" s="108"/>
      <c r="I383" s="108"/>
      <c r="J383" s="108"/>
      <c r="K383" s="108"/>
      <c r="L383" s="108"/>
      <c r="M383" s="108"/>
      <c r="N383" s="108"/>
      <c r="O383" s="632"/>
      <c r="P383" s="632"/>
      <c r="Q383" s="632"/>
      <c r="R383" s="632"/>
      <c r="S383" s="632"/>
      <c r="T383" s="382">
        <f t="shared" si="154"/>
        <v>0</v>
      </c>
    </row>
    <row r="384" spans="1:39" x14ac:dyDescent="0.25">
      <c r="B384" s="104">
        <f>IF(Überblick!$H$53&gt;=5,"5:",0)</f>
        <v>0</v>
      </c>
      <c r="C384" s="1565">
        <f>'Berechnung besondere Leistungen'!C243</f>
        <v>0</v>
      </c>
      <c r="D384" s="1565"/>
      <c r="E384" s="108"/>
      <c r="F384" s="108"/>
      <c r="G384" s="108"/>
      <c r="H384" s="108"/>
      <c r="I384" s="108"/>
      <c r="J384" s="108"/>
      <c r="K384" s="108"/>
      <c r="L384" s="108"/>
      <c r="M384" s="108"/>
      <c r="N384" s="108"/>
      <c r="O384" s="632"/>
      <c r="P384" s="632"/>
      <c r="Q384" s="632"/>
      <c r="R384" s="632"/>
      <c r="S384" s="632"/>
      <c r="T384" s="382">
        <f t="shared" si="154"/>
        <v>0</v>
      </c>
    </row>
    <row r="385" spans="2:20" ht="15.95" customHeight="1" x14ac:dyDescent="0.25">
      <c r="B385" s="104">
        <f>IF(Überblick!$H$53&gt;=6,"6:",0)</f>
        <v>0</v>
      </c>
      <c r="C385" s="1565">
        <f>'Berechnung besondere Leistungen'!C244</f>
        <v>0</v>
      </c>
      <c r="D385" s="1565"/>
      <c r="E385" s="108"/>
      <c r="F385" s="108"/>
      <c r="G385" s="108"/>
      <c r="H385" s="108"/>
      <c r="I385" s="108"/>
      <c r="J385" s="108"/>
      <c r="K385" s="108"/>
      <c r="L385" s="108"/>
      <c r="M385" s="108"/>
      <c r="N385" s="108"/>
      <c r="O385" s="632"/>
      <c r="P385" s="632"/>
      <c r="Q385" s="632"/>
      <c r="R385" s="632"/>
      <c r="S385" s="632"/>
      <c r="T385" s="382">
        <f t="shared" si="154"/>
        <v>0</v>
      </c>
    </row>
    <row r="386" spans="2:20" x14ac:dyDescent="0.25">
      <c r="B386" s="104">
        <f>IF(Überblick!$H$53&gt;=7,"7:",0)</f>
        <v>0</v>
      </c>
      <c r="C386" s="1565">
        <f>'Berechnung besondere Leistungen'!C245</f>
        <v>0</v>
      </c>
      <c r="D386" s="1565"/>
      <c r="E386" s="108"/>
      <c r="F386" s="108"/>
      <c r="G386" s="108"/>
      <c r="H386" s="108"/>
      <c r="I386" s="108"/>
      <c r="J386" s="108"/>
      <c r="K386" s="108"/>
      <c r="L386" s="108"/>
      <c r="M386" s="108"/>
      <c r="N386" s="108"/>
      <c r="O386" s="632"/>
      <c r="P386" s="632"/>
      <c r="Q386" s="632"/>
      <c r="R386" s="632"/>
      <c r="S386" s="632"/>
      <c r="T386" s="382">
        <f t="shared" si="154"/>
        <v>0</v>
      </c>
    </row>
    <row r="387" spans="2:20" ht="15" customHeight="1" x14ac:dyDescent="0.25">
      <c r="B387" s="104">
        <f>IF(Überblick!$H$53&gt;=8,"8:",0)</f>
        <v>0</v>
      </c>
      <c r="C387" s="1565">
        <f>'Berechnung besondere Leistungen'!C246</f>
        <v>0</v>
      </c>
      <c r="D387" s="1565"/>
      <c r="E387" s="108"/>
      <c r="F387" s="108"/>
      <c r="G387" s="108"/>
      <c r="H387" s="108"/>
      <c r="I387" s="108"/>
      <c r="J387" s="108"/>
      <c r="K387" s="108"/>
      <c r="L387" s="108"/>
      <c r="M387" s="108"/>
      <c r="N387" s="108"/>
      <c r="O387" s="632"/>
      <c r="P387" s="632"/>
      <c r="Q387" s="632"/>
      <c r="R387" s="632"/>
      <c r="S387" s="632"/>
      <c r="T387" s="382">
        <f t="shared" si="154"/>
        <v>0</v>
      </c>
    </row>
    <row r="388" spans="2:20" x14ac:dyDescent="0.25">
      <c r="B388" s="104">
        <f>IF(Überblick!$H$53&gt;=9,"9:",0)</f>
        <v>0</v>
      </c>
      <c r="C388" s="1565">
        <f>'Berechnung besondere Leistungen'!C247</f>
        <v>0</v>
      </c>
      <c r="D388" s="1565"/>
      <c r="T388" s="382"/>
    </row>
    <row r="389" spans="2:20" ht="14.25" customHeight="1" x14ac:dyDescent="0.25">
      <c r="T389" s="382"/>
    </row>
    <row r="390" spans="2:20" x14ac:dyDescent="0.25">
      <c r="T390" s="382"/>
    </row>
    <row r="391" spans="2:20" ht="15" customHeight="1" x14ac:dyDescent="0.25">
      <c r="T391" s="382"/>
    </row>
    <row r="392" spans="2:20" x14ac:dyDescent="0.25">
      <c r="T392" s="382"/>
    </row>
  </sheetData>
  <sheetProtection algorithmName="SHA-512" hashValue="r3UbzvhVHJYU6QENq+P9xM9BJTOe2c6ElHxB0eKme5m8fHLtWDQT+wVZZYGz4UzBd30uLwJnuwGeqgQaNTTtng==" saltValue="vmjpDy1pRZEUcL6ExAIHfQ==" spinCount="100000" sheet="1" objects="1" scenarios="1"/>
  <mergeCells count="1086">
    <mergeCell ref="K257:K261"/>
    <mergeCell ref="L257:L261"/>
    <mergeCell ref="M257:M261"/>
    <mergeCell ref="N257:N261"/>
    <mergeCell ref="B266:H267"/>
    <mergeCell ref="I266:I267"/>
    <mergeCell ref="J266:J267"/>
    <mergeCell ref="K266:K267"/>
    <mergeCell ref="L266:L267"/>
    <mergeCell ref="M266:M267"/>
    <mergeCell ref="N266:N267"/>
    <mergeCell ref="B257:H261"/>
    <mergeCell ref="I257:I261"/>
    <mergeCell ref="J257:J261"/>
    <mergeCell ref="B249:H252"/>
    <mergeCell ref="I249:I252"/>
    <mergeCell ref="J249:J252"/>
    <mergeCell ref="K249:K252"/>
    <mergeCell ref="L249:L252"/>
    <mergeCell ref="M249:M252"/>
    <mergeCell ref="N249:N252"/>
    <mergeCell ref="K253:K254"/>
    <mergeCell ref="L253:L254"/>
    <mergeCell ref="M253:M254"/>
    <mergeCell ref="N253:N254"/>
    <mergeCell ref="B255:H256"/>
    <mergeCell ref="I255:I256"/>
    <mergeCell ref="J255:J256"/>
    <mergeCell ref="K255:K256"/>
    <mergeCell ref="L255:L256"/>
    <mergeCell ref="M255:M256"/>
    <mergeCell ref="N255:N256"/>
    <mergeCell ref="B253:H254"/>
    <mergeCell ref="I253:I254"/>
    <mergeCell ref="J253:J254"/>
    <mergeCell ref="B242:H243"/>
    <mergeCell ref="I242:I243"/>
    <mergeCell ref="J242:J243"/>
    <mergeCell ref="K242:K243"/>
    <mergeCell ref="L242:L243"/>
    <mergeCell ref="M242:M243"/>
    <mergeCell ref="N242:N243"/>
    <mergeCell ref="B244:H245"/>
    <mergeCell ref="I244:I245"/>
    <mergeCell ref="J244:J245"/>
    <mergeCell ref="K244:K245"/>
    <mergeCell ref="L244:L245"/>
    <mergeCell ref="M244:M245"/>
    <mergeCell ref="N244:N245"/>
    <mergeCell ref="B246:H248"/>
    <mergeCell ref="I246:I248"/>
    <mergeCell ref="J246:J248"/>
    <mergeCell ref="K246:K248"/>
    <mergeCell ref="L246:L248"/>
    <mergeCell ref="M246:M248"/>
    <mergeCell ref="N246:N248"/>
    <mergeCell ref="B231:H232"/>
    <mergeCell ref="I231:I232"/>
    <mergeCell ref="J231:J232"/>
    <mergeCell ref="K231:K232"/>
    <mergeCell ref="L231:L232"/>
    <mergeCell ref="M231:M232"/>
    <mergeCell ref="N231:N232"/>
    <mergeCell ref="B233:H239"/>
    <mergeCell ref="I233:I239"/>
    <mergeCell ref="J233:J239"/>
    <mergeCell ref="K233:K239"/>
    <mergeCell ref="L233:L239"/>
    <mergeCell ref="M233:M239"/>
    <mergeCell ref="N233:N239"/>
    <mergeCell ref="B240:H241"/>
    <mergeCell ref="I240:I241"/>
    <mergeCell ref="J240:J241"/>
    <mergeCell ref="K240:K241"/>
    <mergeCell ref="L240:L241"/>
    <mergeCell ref="M240:M241"/>
    <mergeCell ref="N240:N241"/>
    <mergeCell ref="B225:H226"/>
    <mergeCell ref="I225:I226"/>
    <mergeCell ref="J225:J226"/>
    <mergeCell ref="K225:K226"/>
    <mergeCell ref="L225:L226"/>
    <mergeCell ref="M225:M226"/>
    <mergeCell ref="N225:N226"/>
    <mergeCell ref="B227:H228"/>
    <mergeCell ref="I227:I228"/>
    <mergeCell ref="J227:J228"/>
    <mergeCell ref="K227:K228"/>
    <mergeCell ref="L227:L228"/>
    <mergeCell ref="M227:M228"/>
    <mergeCell ref="N227:N228"/>
    <mergeCell ref="B229:H230"/>
    <mergeCell ref="I229:I230"/>
    <mergeCell ref="J229:J230"/>
    <mergeCell ref="K229:K230"/>
    <mergeCell ref="L229:L230"/>
    <mergeCell ref="M229:M230"/>
    <mergeCell ref="N229:N230"/>
    <mergeCell ref="B218:H219"/>
    <mergeCell ref="I218:I219"/>
    <mergeCell ref="J218:J219"/>
    <mergeCell ref="K218:K219"/>
    <mergeCell ref="L218:L219"/>
    <mergeCell ref="M218:M219"/>
    <mergeCell ref="N218:N219"/>
    <mergeCell ref="B220:H222"/>
    <mergeCell ref="I220:I222"/>
    <mergeCell ref="J220:J222"/>
    <mergeCell ref="K220:K222"/>
    <mergeCell ref="L220:L222"/>
    <mergeCell ref="M220:M222"/>
    <mergeCell ref="N220:N222"/>
    <mergeCell ref="B223:H224"/>
    <mergeCell ref="I223:I224"/>
    <mergeCell ref="J223:J224"/>
    <mergeCell ref="K223:K224"/>
    <mergeCell ref="L223:L224"/>
    <mergeCell ref="M223:M224"/>
    <mergeCell ref="N223:N224"/>
    <mergeCell ref="B212:H213"/>
    <mergeCell ref="I212:I213"/>
    <mergeCell ref="J212:J213"/>
    <mergeCell ref="K212:K213"/>
    <mergeCell ref="L212:L213"/>
    <mergeCell ref="M212:M213"/>
    <mergeCell ref="N212:N213"/>
    <mergeCell ref="B214:H215"/>
    <mergeCell ref="I214:I215"/>
    <mergeCell ref="J214:J215"/>
    <mergeCell ref="K214:K215"/>
    <mergeCell ref="L214:L215"/>
    <mergeCell ref="M214:M215"/>
    <mergeCell ref="N214:N215"/>
    <mergeCell ref="B216:H217"/>
    <mergeCell ref="I216:I217"/>
    <mergeCell ref="J216:J217"/>
    <mergeCell ref="K216:K217"/>
    <mergeCell ref="L216:L217"/>
    <mergeCell ref="M216:M217"/>
    <mergeCell ref="N216:N217"/>
    <mergeCell ref="B205:H206"/>
    <mergeCell ref="I205:I206"/>
    <mergeCell ref="J205:J206"/>
    <mergeCell ref="K205:K206"/>
    <mergeCell ref="L205:L206"/>
    <mergeCell ref="M205:M206"/>
    <mergeCell ref="N205:N206"/>
    <mergeCell ref="B207:H209"/>
    <mergeCell ref="I207:I209"/>
    <mergeCell ref="J207:J209"/>
    <mergeCell ref="K207:K209"/>
    <mergeCell ref="L207:L209"/>
    <mergeCell ref="M207:M209"/>
    <mergeCell ref="N207:N209"/>
    <mergeCell ref="B210:H211"/>
    <mergeCell ref="I210:I211"/>
    <mergeCell ref="J210:J211"/>
    <mergeCell ref="K210:K211"/>
    <mergeCell ref="L210:L211"/>
    <mergeCell ref="M210:M211"/>
    <mergeCell ref="N210:N211"/>
    <mergeCell ref="B195:H199"/>
    <mergeCell ref="I195:I199"/>
    <mergeCell ref="J195:J199"/>
    <mergeCell ref="K195:K199"/>
    <mergeCell ref="L195:L199"/>
    <mergeCell ref="M195:M199"/>
    <mergeCell ref="N195:N199"/>
    <mergeCell ref="B200:H202"/>
    <mergeCell ref="I200:I202"/>
    <mergeCell ref="J200:J202"/>
    <mergeCell ref="K200:K202"/>
    <mergeCell ref="L200:L202"/>
    <mergeCell ref="M200:M202"/>
    <mergeCell ref="N200:N202"/>
    <mergeCell ref="B203:H204"/>
    <mergeCell ref="I203:I204"/>
    <mergeCell ref="J203:J204"/>
    <mergeCell ref="K203:K204"/>
    <mergeCell ref="L203:L204"/>
    <mergeCell ref="M203:M204"/>
    <mergeCell ref="N203:N204"/>
    <mergeCell ref="B180:H181"/>
    <mergeCell ref="I180:I181"/>
    <mergeCell ref="J180:J181"/>
    <mergeCell ref="K180:K181"/>
    <mergeCell ref="L180:L181"/>
    <mergeCell ref="M180:M181"/>
    <mergeCell ref="B176:H177"/>
    <mergeCell ref="I176:I177"/>
    <mergeCell ref="J176:J177"/>
    <mergeCell ref="M191:M192"/>
    <mergeCell ref="N191:N192"/>
    <mergeCell ref="B193:H194"/>
    <mergeCell ref="I193:I194"/>
    <mergeCell ref="J193:J194"/>
    <mergeCell ref="K193:K194"/>
    <mergeCell ref="L193:L194"/>
    <mergeCell ref="M193:M194"/>
    <mergeCell ref="N193:N194"/>
    <mergeCell ref="K176:K177"/>
    <mergeCell ref="L176:L177"/>
    <mergeCell ref="M176:M177"/>
    <mergeCell ref="N176:N177"/>
    <mergeCell ref="N180:N181"/>
    <mergeCell ref="L183:L185"/>
    <mergeCell ref="M183:M185"/>
    <mergeCell ref="N183:N185"/>
    <mergeCell ref="L186:L188"/>
    <mergeCell ref="M186:M188"/>
    <mergeCell ref="N186:N188"/>
    <mergeCell ref="L189:L190"/>
    <mergeCell ref="M189:M190"/>
    <mergeCell ref="N189:N190"/>
    <mergeCell ref="K162:K163"/>
    <mergeCell ref="I162:I163"/>
    <mergeCell ref="J146:J148"/>
    <mergeCell ref="K146:K148"/>
    <mergeCell ref="L146:L148"/>
    <mergeCell ref="M146:M148"/>
    <mergeCell ref="L154:L155"/>
    <mergeCell ref="M154:M155"/>
    <mergeCell ref="N154:N155"/>
    <mergeCell ref="I152:I153"/>
    <mergeCell ref="J152:J153"/>
    <mergeCell ref="L168:L171"/>
    <mergeCell ref="M168:M171"/>
    <mergeCell ref="N168:N171"/>
    <mergeCell ref="B178:H179"/>
    <mergeCell ref="I178:I179"/>
    <mergeCell ref="J178:J179"/>
    <mergeCell ref="K178:K179"/>
    <mergeCell ref="L178:L179"/>
    <mergeCell ref="M178:M179"/>
    <mergeCell ref="N178:N179"/>
    <mergeCell ref="B168:H171"/>
    <mergeCell ref="I168:I171"/>
    <mergeCell ref="J168:J171"/>
    <mergeCell ref="K152:K153"/>
    <mergeCell ref="L152:L153"/>
    <mergeCell ref="K154:K155"/>
    <mergeCell ref="N146:N148"/>
    <mergeCell ref="I149:I151"/>
    <mergeCell ref="J149:J151"/>
    <mergeCell ref="K149:K151"/>
    <mergeCell ref="L149:L151"/>
    <mergeCell ref="K52:K53"/>
    <mergeCell ref="L52:L53"/>
    <mergeCell ref="M52:M53"/>
    <mergeCell ref="N52:N53"/>
    <mergeCell ref="B54:H55"/>
    <mergeCell ref="I54:I55"/>
    <mergeCell ref="J54:J55"/>
    <mergeCell ref="K54:K55"/>
    <mergeCell ref="L54:L55"/>
    <mergeCell ref="M54:M55"/>
    <mergeCell ref="N54:N55"/>
    <mergeCell ref="L68:L69"/>
    <mergeCell ref="M68:M69"/>
    <mergeCell ref="N68:N69"/>
    <mergeCell ref="B165:H167"/>
    <mergeCell ref="I165:I167"/>
    <mergeCell ref="J165:J167"/>
    <mergeCell ref="K165:K167"/>
    <mergeCell ref="L165:L167"/>
    <mergeCell ref="M165:M167"/>
    <mergeCell ref="N165:N167"/>
    <mergeCell ref="L162:L163"/>
    <mergeCell ref="M162:M163"/>
    <mergeCell ref="N162:N163"/>
    <mergeCell ref="B149:H151"/>
    <mergeCell ref="B152:H153"/>
    <mergeCell ref="B154:H155"/>
    <mergeCell ref="B162:H163"/>
    <mergeCell ref="N152:N153"/>
    <mergeCell ref="I154:I155"/>
    <mergeCell ref="J154:J155"/>
    <mergeCell ref="M152:M153"/>
    <mergeCell ref="C384:D384"/>
    <mergeCell ref="C385:D385"/>
    <mergeCell ref="C386:D386"/>
    <mergeCell ref="C387:D387"/>
    <mergeCell ref="C378:D379"/>
    <mergeCell ref="B378:B379"/>
    <mergeCell ref="H368:J368"/>
    <mergeCell ref="H371:J371"/>
    <mergeCell ref="H374:J374"/>
    <mergeCell ref="C380:D380"/>
    <mergeCell ref="C381:D381"/>
    <mergeCell ref="C382:D382"/>
    <mergeCell ref="C383:D383"/>
    <mergeCell ref="B371:F371"/>
    <mergeCell ref="B373:F374"/>
    <mergeCell ref="B368:F368"/>
    <mergeCell ref="K48:K49"/>
    <mergeCell ref="K68:K69"/>
    <mergeCell ref="K168:K171"/>
    <mergeCell ref="B183:H185"/>
    <mergeCell ref="I183:I185"/>
    <mergeCell ref="J183:J185"/>
    <mergeCell ref="K183:K185"/>
    <mergeCell ref="B186:H188"/>
    <mergeCell ref="I186:I188"/>
    <mergeCell ref="J186:J188"/>
    <mergeCell ref="K186:K188"/>
    <mergeCell ref="B189:H190"/>
    <mergeCell ref="I189:I190"/>
    <mergeCell ref="J189:J190"/>
    <mergeCell ref="K189:K190"/>
    <mergeCell ref="B191:H192"/>
    <mergeCell ref="M149:M151"/>
    <mergeCell ref="N149:N151"/>
    <mergeCell ref="N102:N103"/>
    <mergeCell ref="B114:H115"/>
    <mergeCell ref="J114:J115"/>
    <mergeCell ref="K114:K115"/>
    <mergeCell ref="L114:L115"/>
    <mergeCell ref="M114:M115"/>
    <mergeCell ref="N114:N115"/>
    <mergeCell ref="B102:H103"/>
    <mergeCell ref="I102:I103"/>
    <mergeCell ref="J102:J103"/>
    <mergeCell ref="K102:K103"/>
    <mergeCell ref="L102:L103"/>
    <mergeCell ref="M102:M103"/>
    <mergeCell ref="I114:I115"/>
    <mergeCell ref="B104:H105"/>
    <mergeCell ref="I104:I105"/>
    <mergeCell ref="J104:J105"/>
    <mergeCell ref="K104:K105"/>
    <mergeCell ref="L104:L105"/>
    <mergeCell ref="M104:M105"/>
    <mergeCell ref="N104:N105"/>
    <mergeCell ref="B106:H107"/>
    <mergeCell ref="B143:H144"/>
    <mergeCell ref="J143:J144"/>
    <mergeCell ref="K125:K126"/>
    <mergeCell ref="L125:L126"/>
    <mergeCell ref="M125:M126"/>
    <mergeCell ref="N125:N126"/>
    <mergeCell ref="B112:H113"/>
    <mergeCell ref="I112:I113"/>
    <mergeCell ref="N98:N99"/>
    <mergeCell ref="B100:H101"/>
    <mergeCell ref="I100:I101"/>
    <mergeCell ref="J100:J101"/>
    <mergeCell ref="K100:K101"/>
    <mergeCell ref="L100:L101"/>
    <mergeCell ref="M100:M101"/>
    <mergeCell ref="N100:N101"/>
    <mergeCell ref="B98:H99"/>
    <mergeCell ref="I98:I99"/>
    <mergeCell ref="J98:J99"/>
    <mergeCell ref="K98:K99"/>
    <mergeCell ref="L98:L99"/>
    <mergeCell ref="M98:M99"/>
    <mergeCell ref="L141:L142"/>
    <mergeCell ref="M141:M142"/>
    <mergeCell ref="I143:I144"/>
    <mergeCell ref="N117:N119"/>
    <mergeCell ref="B134:H136"/>
    <mergeCell ref="I134:I136"/>
    <mergeCell ref="J134:J136"/>
    <mergeCell ref="K134:K136"/>
    <mergeCell ref="L134:L136"/>
    <mergeCell ref="M134:M136"/>
    <mergeCell ref="N134:N136"/>
    <mergeCell ref="M120:M122"/>
    <mergeCell ref="N120:N122"/>
    <mergeCell ref="M129:M130"/>
    <mergeCell ref="N129:N130"/>
    <mergeCell ref="I106:I107"/>
    <mergeCell ref="N108:N109"/>
    <mergeCell ref="J125:J126"/>
    <mergeCell ref="N80:N81"/>
    <mergeCell ref="B82:H83"/>
    <mergeCell ref="I82:I83"/>
    <mergeCell ref="J82:J83"/>
    <mergeCell ref="K82:K83"/>
    <mergeCell ref="L82:L83"/>
    <mergeCell ref="M82:M83"/>
    <mergeCell ref="N82:N83"/>
    <mergeCell ref="B80:H81"/>
    <mergeCell ref="I80:I81"/>
    <mergeCell ref="J80:J81"/>
    <mergeCell ref="K80:K81"/>
    <mergeCell ref="L80:L81"/>
    <mergeCell ref="M80:M81"/>
    <mergeCell ref="N84:N85"/>
    <mergeCell ref="B86:H87"/>
    <mergeCell ref="N141:N142"/>
    <mergeCell ref="J106:J107"/>
    <mergeCell ref="J92:J93"/>
    <mergeCell ref="N94:N95"/>
    <mergeCell ref="B96:H97"/>
    <mergeCell ref="J96:J97"/>
    <mergeCell ref="K96:K97"/>
    <mergeCell ref="L96:L97"/>
    <mergeCell ref="M96:M97"/>
    <mergeCell ref="N96:N97"/>
    <mergeCell ref="B94:H95"/>
    <mergeCell ref="I94:I95"/>
    <mergeCell ref="J94:J95"/>
    <mergeCell ref="K94:K95"/>
    <mergeCell ref="L94:L95"/>
    <mergeCell ref="M94:M95"/>
    <mergeCell ref="M88:M89"/>
    <mergeCell ref="N88:N89"/>
    <mergeCell ref="B90:H91"/>
    <mergeCell ref="I90:I91"/>
    <mergeCell ref="J90:J91"/>
    <mergeCell ref="K90:K91"/>
    <mergeCell ref="L90:L91"/>
    <mergeCell ref="M90:M91"/>
    <mergeCell ref="N90:N91"/>
    <mergeCell ref="B88:H89"/>
    <mergeCell ref="B92:H93"/>
    <mergeCell ref="I88:I89"/>
    <mergeCell ref="J88:J89"/>
    <mergeCell ref="K88:K89"/>
    <mergeCell ref="L88:L89"/>
    <mergeCell ref="I92:I93"/>
    <mergeCell ref="I96:I97"/>
    <mergeCell ref="M92:M93"/>
    <mergeCell ref="N92:N93"/>
    <mergeCell ref="B32:H33"/>
    <mergeCell ref="I32:I33"/>
    <mergeCell ref="J32:J33"/>
    <mergeCell ref="M32:M33"/>
    <mergeCell ref="I86:I87"/>
    <mergeCell ref="J86:J87"/>
    <mergeCell ref="K86:K87"/>
    <mergeCell ref="L86:L87"/>
    <mergeCell ref="M86:M87"/>
    <mergeCell ref="N86:N87"/>
    <mergeCell ref="B84:H85"/>
    <mergeCell ref="I84:I85"/>
    <mergeCell ref="J84:J85"/>
    <mergeCell ref="K84:K85"/>
    <mergeCell ref="L84:L85"/>
    <mergeCell ref="M84:M85"/>
    <mergeCell ref="M131:M132"/>
    <mergeCell ref="N131:N132"/>
    <mergeCell ref="B129:H130"/>
    <mergeCell ref="I129:I130"/>
    <mergeCell ref="J129:J130"/>
    <mergeCell ref="K129:K130"/>
    <mergeCell ref="L129:L130"/>
    <mergeCell ref="B131:H132"/>
    <mergeCell ref="M117:M119"/>
    <mergeCell ref="K106:K107"/>
    <mergeCell ref="L106:L107"/>
    <mergeCell ref="M106:M107"/>
    <mergeCell ref="N106:N107"/>
    <mergeCell ref="K108:K109"/>
    <mergeCell ref="L108:L109"/>
    <mergeCell ref="M108:M109"/>
    <mergeCell ref="I20:I21"/>
    <mergeCell ref="B24:H25"/>
    <mergeCell ref="K14:K15"/>
    <mergeCell ref="L14:L15"/>
    <mergeCell ref="K16:K17"/>
    <mergeCell ref="L16:L17"/>
    <mergeCell ref="K143:K144"/>
    <mergeCell ref="L143:L144"/>
    <mergeCell ref="M143:M144"/>
    <mergeCell ref="N143:N144"/>
    <mergeCell ref="B141:H142"/>
    <mergeCell ref="I141:I142"/>
    <mergeCell ref="J141:J142"/>
    <mergeCell ref="N42:N43"/>
    <mergeCell ref="K32:K33"/>
    <mergeCell ref="L32:L33"/>
    <mergeCell ref="B34:H35"/>
    <mergeCell ref="I34:I35"/>
    <mergeCell ref="J34:J35"/>
    <mergeCell ref="M34:M35"/>
    <mergeCell ref="B36:H37"/>
    <mergeCell ref="I36:I37"/>
    <mergeCell ref="J36:J37"/>
    <mergeCell ref="M36:M37"/>
    <mergeCell ref="K34:K35"/>
    <mergeCell ref="L34:L35"/>
    <mergeCell ref="I42:I43"/>
    <mergeCell ref="J42:J43"/>
    <mergeCell ref="B40:H41"/>
    <mergeCell ref="I40:I41"/>
    <mergeCell ref="K38:K39"/>
    <mergeCell ref="N38:N39"/>
    <mergeCell ref="M28:M29"/>
    <mergeCell ref="N28:N29"/>
    <mergeCell ref="J30:J31"/>
    <mergeCell ref="K36:K37"/>
    <mergeCell ref="M24:M25"/>
    <mergeCell ref="L18:L19"/>
    <mergeCell ref="K20:K21"/>
    <mergeCell ref="L20:L21"/>
    <mergeCell ref="K22:K23"/>
    <mergeCell ref="L22:L23"/>
    <mergeCell ref="M22:M23"/>
    <mergeCell ref="L30:L31"/>
    <mergeCell ref="K18:K19"/>
    <mergeCell ref="M18:M19"/>
    <mergeCell ref="M26:M27"/>
    <mergeCell ref="K12:K13"/>
    <mergeCell ref="L12:L13"/>
    <mergeCell ref="K66:K67"/>
    <mergeCell ref="L66:L67"/>
    <mergeCell ref="M66:M67"/>
    <mergeCell ref="N66:N67"/>
    <mergeCell ref="N22:N23"/>
    <mergeCell ref="N20:N21"/>
    <mergeCell ref="N30:N31"/>
    <mergeCell ref="N24:N25"/>
    <mergeCell ref="N34:N35"/>
    <mergeCell ref="N12:N13"/>
    <mergeCell ref="K44:K45"/>
    <mergeCell ref="L44:L45"/>
    <mergeCell ref="M44:M45"/>
    <mergeCell ref="N40:N41"/>
    <mergeCell ref="N18:N19"/>
    <mergeCell ref="B18:H19"/>
    <mergeCell ref="B14:H15"/>
    <mergeCell ref="I14:I15"/>
    <mergeCell ref="J14:J15"/>
    <mergeCell ref="K42:K43"/>
    <mergeCell ref="L42:L43"/>
    <mergeCell ref="L36:L37"/>
    <mergeCell ref="M12:M13"/>
    <mergeCell ref="J20:J21"/>
    <mergeCell ref="M20:M21"/>
    <mergeCell ref="I24:I25"/>
    <mergeCell ref="J24:J25"/>
    <mergeCell ref="I26:I27"/>
    <mergeCell ref="J26:J27"/>
    <mergeCell ref="B22:H23"/>
    <mergeCell ref="M30:M31"/>
    <mergeCell ref="J28:J29"/>
    <mergeCell ref="N44:N45"/>
    <mergeCell ref="B42:H43"/>
    <mergeCell ref="M42:M43"/>
    <mergeCell ref="N36:N37"/>
    <mergeCell ref="I46:I47"/>
    <mergeCell ref="J46:J47"/>
    <mergeCell ref="K46:K47"/>
    <mergeCell ref="L46:L47"/>
    <mergeCell ref="M46:M47"/>
    <mergeCell ref="N46:N47"/>
    <mergeCell ref="B38:H39"/>
    <mergeCell ref="I38:I39"/>
    <mergeCell ref="J38:J39"/>
    <mergeCell ref="M38:M39"/>
    <mergeCell ref="L38:L39"/>
    <mergeCell ref="N58:N59"/>
    <mergeCell ref="K64:K65"/>
    <mergeCell ref="L64:L65"/>
    <mergeCell ref="M64:M65"/>
    <mergeCell ref="N64:N65"/>
    <mergeCell ref="J40:J41"/>
    <mergeCell ref="M40:M41"/>
    <mergeCell ref="L48:L49"/>
    <mergeCell ref="M48:M49"/>
    <mergeCell ref="N48:N49"/>
    <mergeCell ref="B50:H51"/>
    <mergeCell ref="I50:I51"/>
    <mergeCell ref="J50:J51"/>
    <mergeCell ref="K50:K51"/>
    <mergeCell ref="L50:L51"/>
    <mergeCell ref="M50:M51"/>
    <mergeCell ref="N50:N51"/>
    <mergeCell ref="B10:H11"/>
    <mergeCell ref="B20:H21"/>
    <mergeCell ref="B16:H17"/>
    <mergeCell ref="B26:H27"/>
    <mergeCell ref="I22:I23"/>
    <mergeCell ref="J22:J23"/>
    <mergeCell ref="I12:I13"/>
    <mergeCell ref="J12:J13"/>
    <mergeCell ref="K10:K11"/>
    <mergeCell ref="K92:K93"/>
    <mergeCell ref="L92:L93"/>
    <mergeCell ref="M16:M17"/>
    <mergeCell ref="N16:N17"/>
    <mergeCell ref="I18:I19"/>
    <mergeCell ref="J18:J19"/>
    <mergeCell ref="N26:N27"/>
    <mergeCell ref="K24:K25"/>
    <mergeCell ref="L24:L25"/>
    <mergeCell ref="N32:N33"/>
    <mergeCell ref="M14:M15"/>
    <mergeCell ref="N14:N15"/>
    <mergeCell ref="K40:K41"/>
    <mergeCell ref="L40:L41"/>
    <mergeCell ref="K26:K27"/>
    <mergeCell ref="L26:L27"/>
    <mergeCell ref="K28:K29"/>
    <mergeCell ref="L28:L29"/>
    <mergeCell ref="K30:K31"/>
    <mergeCell ref="B60:H61"/>
    <mergeCell ref="I60:I61"/>
    <mergeCell ref="J60:J61"/>
    <mergeCell ref="B46:H47"/>
    <mergeCell ref="C388:D388"/>
    <mergeCell ref="N5:N7"/>
    <mergeCell ref="I5:I7"/>
    <mergeCell ref="J5:J7"/>
    <mergeCell ref="M5:M7"/>
    <mergeCell ref="N8:N9"/>
    <mergeCell ref="I10:I11"/>
    <mergeCell ref="K8:K9"/>
    <mergeCell ref="L8:L9"/>
    <mergeCell ref="B5:H7"/>
    <mergeCell ref="K5:K7"/>
    <mergeCell ref="L5:L7"/>
    <mergeCell ref="J10:J11"/>
    <mergeCell ref="M10:M11"/>
    <mergeCell ref="N10:N11"/>
    <mergeCell ref="M8:M9"/>
    <mergeCell ref="J8:J9"/>
    <mergeCell ref="I8:I9"/>
    <mergeCell ref="L10:L11"/>
    <mergeCell ref="B120:H122"/>
    <mergeCell ref="I120:I122"/>
    <mergeCell ref="J120:J122"/>
    <mergeCell ref="K120:K122"/>
    <mergeCell ref="L120:L122"/>
    <mergeCell ref="B8:H9"/>
    <mergeCell ref="B28:H29"/>
    <mergeCell ref="B30:H31"/>
    <mergeCell ref="I28:I29"/>
    <mergeCell ref="I30:I31"/>
    <mergeCell ref="I16:I17"/>
    <mergeCell ref="J16:J17"/>
    <mergeCell ref="B12:H13"/>
    <mergeCell ref="B353:J354"/>
    <mergeCell ref="B357:F357"/>
    <mergeCell ref="H357:J357"/>
    <mergeCell ref="K60:K61"/>
    <mergeCell ref="L60:L61"/>
    <mergeCell ref="M60:M61"/>
    <mergeCell ref="N60:N61"/>
    <mergeCell ref="B62:H63"/>
    <mergeCell ref="I62:I63"/>
    <mergeCell ref="J62:J63"/>
    <mergeCell ref="K62:K63"/>
    <mergeCell ref="L62:L63"/>
    <mergeCell ref="M62:M63"/>
    <mergeCell ref="N62:N63"/>
    <mergeCell ref="B56:H57"/>
    <mergeCell ref="I56:I57"/>
    <mergeCell ref="J56:J57"/>
    <mergeCell ref="K131:K132"/>
    <mergeCell ref="L131:L132"/>
    <mergeCell ref="N71:N73"/>
    <mergeCell ref="B74:H75"/>
    <mergeCell ref="K141:K142"/>
    <mergeCell ref="K56:K57"/>
    <mergeCell ref="L56:L57"/>
    <mergeCell ref="M56:M57"/>
    <mergeCell ref="N56:N57"/>
    <mergeCell ref="B58:H59"/>
    <mergeCell ref="I58:I59"/>
    <mergeCell ref="J58:J59"/>
    <mergeCell ref="K58:K59"/>
    <mergeCell ref="L58:L59"/>
    <mergeCell ref="M58:M59"/>
    <mergeCell ref="B360:F360"/>
    <mergeCell ref="H360:J360"/>
    <mergeCell ref="B362:F363"/>
    <mergeCell ref="H363:J363"/>
    <mergeCell ref="B44:H45"/>
    <mergeCell ref="I44:I45"/>
    <mergeCell ref="J44:J45"/>
    <mergeCell ref="B48:H49"/>
    <mergeCell ref="I48:I49"/>
    <mergeCell ref="J48:J49"/>
    <mergeCell ref="B52:H53"/>
    <mergeCell ref="I52:I53"/>
    <mergeCell ref="J52:J53"/>
    <mergeCell ref="B68:H69"/>
    <mergeCell ref="I68:I69"/>
    <mergeCell ref="J68:J69"/>
    <mergeCell ref="I131:I132"/>
    <mergeCell ref="J131:J132"/>
    <mergeCell ref="J71:J73"/>
    <mergeCell ref="B146:H148"/>
    <mergeCell ref="I146:I148"/>
    <mergeCell ref="B108:H109"/>
    <mergeCell ref="I108:I109"/>
    <mergeCell ref="J108:J109"/>
    <mergeCell ref="I64:I65"/>
    <mergeCell ref="J64:J65"/>
    <mergeCell ref="B66:H67"/>
    <mergeCell ref="I66:I67"/>
    <mergeCell ref="J66:J67"/>
    <mergeCell ref="B64:H65"/>
    <mergeCell ref="B125:H126"/>
    <mergeCell ref="I125:I126"/>
    <mergeCell ref="K71:K73"/>
    <mergeCell ref="L71:L73"/>
    <mergeCell ref="M71:M73"/>
    <mergeCell ref="N76:N77"/>
    <mergeCell ref="B78:H79"/>
    <mergeCell ref="I78:I79"/>
    <mergeCell ref="J78:J79"/>
    <mergeCell ref="K78:K79"/>
    <mergeCell ref="L78:L79"/>
    <mergeCell ref="M78:M79"/>
    <mergeCell ref="N78:N79"/>
    <mergeCell ref="B76:H77"/>
    <mergeCell ref="I76:I77"/>
    <mergeCell ref="J76:J77"/>
    <mergeCell ref="K76:K77"/>
    <mergeCell ref="L76:L77"/>
    <mergeCell ref="M76:M77"/>
    <mergeCell ref="I74:I75"/>
    <mergeCell ref="J74:J75"/>
    <mergeCell ref="K74:K75"/>
    <mergeCell ref="L74:L75"/>
    <mergeCell ref="M74:M75"/>
    <mergeCell ref="N74:N75"/>
    <mergeCell ref="B71:H73"/>
    <mergeCell ref="I71:I73"/>
    <mergeCell ref="J112:J113"/>
    <mergeCell ref="K112:K113"/>
    <mergeCell ref="L112:L113"/>
    <mergeCell ref="M112:M113"/>
    <mergeCell ref="N112:N113"/>
    <mergeCell ref="B110:H111"/>
    <mergeCell ref="I110:I111"/>
    <mergeCell ref="J110:J111"/>
    <mergeCell ref="K110:K111"/>
    <mergeCell ref="L110:L111"/>
    <mergeCell ref="M110:M111"/>
    <mergeCell ref="N110:N111"/>
    <mergeCell ref="B117:H119"/>
    <mergeCell ref="I117:I119"/>
    <mergeCell ref="J117:J119"/>
    <mergeCell ref="K117:K119"/>
    <mergeCell ref="L117:L119"/>
    <mergeCell ref="L158:L159"/>
    <mergeCell ref="M158:M159"/>
    <mergeCell ref="N158:N159"/>
    <mergeCell ref="J162:J163"/>
    <mergeCell ref="B123:H124"/>
    <mergeCell ref="I123:I124"/>
    <mergeCell ref="J123:J124"/>
    <mergeCell ref="K123:K124"/>
    <mergeCell ref="L123:L124"/>
    <mergeCell ref="M123:M124"/>
    <mergeCell ref="N123:N124"/>
    <mergeCell ref="B139:H140"/>
    <mergeCell ref="I139:I140"/>
    <mergeCell ref="J139:J140"/>
    <mergeCell ref="K139:K140"/>
    <mergeCell ref="L139:L140"/>
    <mergeCell ref="M139:M140"/>
    <mergeCell ref="N139:N140"/>
    <mergeCell ref="B137:H138"/>
    <mergeCell ref="I137:I138"/>
    <mergeCell ref="J137:J138"/>
    <mergeCell ref="K137:K138"/>
    <mergeCell ref="L137:L138"/>
    <mergeCell ref="M137:M138"/>
    <mergeCell ref="N137:N138"/>
    <mergeCell ref="B127:H128"/>
    <mergeCell ref="I127:I128"/>
    <mergeCell ref="J127:J128"/>
    <mergeCell ref="K127:K128"/>
    <mergeCell ref="L127:L128"/>
    <mergeCell ref="M127:M128"/>
    <mergeCell ref="N127:N128"/>
    <mergeCell ref="B156:H157"/>
    <mergeCell ref="I156:I157"/>
    <mergeCell ref="J156:J157"/>
    <mergeCell ref="K156:K157"/>
    <mergeCell ref="L156:L157"/>
    <mergeCell ref="M156:M157"/>
    <mergeCell ref="N156:N157"/>
    <mergeCell ref="B174:H175"/>
    <mergeCell ref="I174:I175"/>
    <mergeCell ref="J174:J175"/>
    <mergeCell ref="K174:K175"/>
    <mergeCell ref="L174:L175"/>
    <mergeCell ref="M174:M175"/>
    <mergeCell ref="N174:N175"/>
    <mergeCell ref="B172:H173"/>
    <mergeCell ref="I172:I173"/>
    <mergeCell ref="J172:J173"/>
    <mergeCell ref="K172:K173"/>
    <mergeCell ref="L172:L173"/>
    <mergeCell ref="M172:M173"/>
    <mergeCell ref="N172:N173"/>
    <mergeCell ref="B160:H161"/>
    <mergeCell ref="I160:I161"/>
    <mergeCell ref="J160:J161"/>
    <mergeCell ref="K160:K161"/>
    <mergeCell ref="L160:L161"/>
    <mergeCell ref="M160:M161"/>
    <mergeCell ref="N160:N161"/>
    <mergeCell ref="B158:H159"/>
    <mergeCell ref="I158:I159"/>
    <mergeCell ref="J158:J159"/>
    <mergeCell ref="K158:K159"/>
    <mergeCell ref="I191:I192"/>
    <mergeCell ref="J191:J192"/>
    <mergeCell ref="K191:K192"/>
    <mergeCell ref="L191:L192"/>
    <mergeCell ref="B272:H273"/>
    <mergeCell ref="I272:I273"/>
    <mergeCell ref="J272:J273"/>
    <mergeCell ref="K272:K273"/>
    <mergeCell ref="L272:L273"/>
    <mergeCell ref="M272:M273"/>
    <mergeCell ref="N272:N273"/>
    <mergeCell ref="B274:H275"/>
    <mergeCell ref="I274:I275"/>
    <mergeCell ref="J274:J275"/>
    <mergeCell ref="K274:K275"/>
    <mergeCell ref="L274:L275"/>
    <mergeCell ref="M274:M275"/>
    <mergeCell ref="N274:N275"/>
    <mergeCell ref="B268:H269"/>
    <mergeCell ref="I268:I269"/>
    <mergeCell ref="J268:J269"/>
    <mergeCell ref="K268:K269"/>
    <mergeCell ref="L268:L269"/>
    <mergeCell ref="M268:M269"/>
    <mergeCell ref="N268:N269"/>
    <mergeCell ref="B270:H271"/>
    <mergeCell ref="I270:I271"/>
    <mergeCell ref="J270:J271"/>
    <mergeCell ref="K270:K271"/>
    <mergeCell ref="L270:L271"/>
    <mergeCell ref="M270:M271"/>
    <mergeCell ref="N270:N271"/>
    <mergeCell ref="B280:H281"/>
    <mergeCell ref="I280:I281"/>
    <mergeCell ref="J280:J281"/>
    <mergeCell ref="K280:K281"/>
    <mergeCell ref="L280:L281"/>
    <mergeCell ref="M280:M281"/>
    <mergeCell ref="N280:N281"/>
    <mergeCell ref="B282:H283"/>
    <mergeCell ref="I282:I283"/>
    <mergeCell ref="J282:J283"/>
    <mergeCell ref="K282:K283"/>
    <mergeCell ref="L282:L283"/>
    <mergeCell ref="M282:M283"/>
    <mergeCell ref="N282:N283"/>
    <mergeCell ref="B276:H277"/>
    <mergeCell ref="I276:I277"/>
    <mergeCell ref="J276:J277"/>
    <mergeCell ref="K276:K277"/>
    <mergeCell ref="L276:L277"/>
    <mergeCell ref="M276:M277"/>
    <mergeCell ref="N276:N277"/>
    <mergeCell ref="B278:H279"/>
    <mergeCell ref="I278:I279"/>
    <mergeCell ref="J278:J279"/>
    <mergeCell ref="K278:K279"/>
    <mergeCell ref="L278:L279"/>
    <mergeCell ref="M278:M279"/>
    <mergeCell ref="N278:N279"/>
    <mergeCell ref="B288:H289"/>
    <mergeCell ref="I288:I289"/>
    <mergeCell ref="J288:J289"/>
    <mergeCell ref="K288:K289"/>
    <mergeCell ref="L288:L289"/>
    <mergeCell ref="M288:M289"/>
    <mergeCell ref="N288:N289"/>
    <mergeCell ref="B290:H291"/>
    <mergeCell ref="I290:I291"/>
    <mergeCell ref="J290:J291"/>
    <mergeCell ref="K290:K291"/>
    <mergeCell ref="L290:L291"/>
    <mergeCell ref="M290:M291"/>
    <mergeCell ref="N290:N291"/>
    <mergeCell ref="B284:H285"/>
    <mergeCell ref="I284:I285"/>
    <mergeCell ref="J284:J285"/>
    <mergeCell ref="K284:K285"/>
    <mergeCell ref="L284:L285"/>
    <mergeCell ref="M284:M285"/>
    <mergeCell ref="N284:N285"/>
    <mergeCell ref="B286:H287"/>
    <mergeCell ref="I286:I287"/>
    <mergeCell ref="J286:J287"/>
    <mergeCell ref="K286:K287"/>
    <mergeCell ref="L286:L287"/>
    <mergeCell ref="M286:M287"/>
    <mergeCell ref="N286:N287"/>
    <mergeCell ref="B297:H299"/>
    <mergeCell ref="I297:I299"/>
    <mergeCell ref="J297:J299"/>
    <mergeCell ref="K297:K299"/>
    <mergeCell ref="L297:L299"/>
    <mergeCell ref="M297:M299"/>
    <mergeCell ref="N297:N299"/>
    <mergeCell ref="B300:H301"/>
    <mergeCell ref="I300:I301"/>
    <mergeCell ref="J300:J301"/>
    <mergeCell ref="K300:K301"/>
    <mergeCell ref="L300:L301"/>
    <mergeCell ref="M300:M301"/>
    <mergeCell ref="N300:N301"/>
    <mergeCell ref="B292:H294"/>
    <mergeCell ref="I292:I294"/>
    <mergeCell ref="J292:J294"/>
    <mergeCell ref="K292:K294"/>
    <mergeCell ref="L292:L294"/>
    <mergeCell ref="M292:M294"/>
    <mergeCell ref="N292:N294"/>
    <mergeCell ref="B295:H296"/>
    <mergeCell ref="I295:I296"/>
    <mergeCell ref="J295:J296"/>
    <mergeCell ref="K295:K296"/>
    <mergeCell ref="L295:L296"/>
    <mergeCell ref="M295:M296"/>
    <mergeCell ref="N295:N296"/>
    <mergeCell ref="B306:H307"/>
    <mergeCell ref="I306:I307"/>
    <mergeCell ref="J306:J307"/>
    <mergeCell ref="K306:K307"/>
    <mergeCell ref="L306:L307"/>
    <mergeCell ref="M306:M307"/>
    <mergeCell ref="N306:N307"/>
    <mergeCell ref="B308:H309"/>
    <mergeCell ref="I308:I309"/>
    <mergeCell ref="J308:J309"/>
    <mergeCell ref="K308:K309"/>
    <mergeCell ref="L308:L309"/>
    <mergeCell ref="M308:M309"/>
    <mergeCell ref="N308:N309"/>
    <mergeCell ref="B302:H303"/>
    <mergeCell ref="I302:I303"/>
    <mergeCell ref="J302:J303"/>
    <mergeCell ref="K302:K303"/>
    <mergeCell ref="L302:L303"/>
    <mergeCell ref="M302:M303"/>
    <mergeCell ref="N302:N303"/>
    <mergeCell ref="B304:H305"/>
    <mergeCell ref="I304:I305"/>
    <mergeCell ref="J304:J305"/>
    <mergeCell ref="K304:K305"/>
    <mergeCell ref="L304:L305"/>
    <mergeCell ref="M304:M305"/>
    <mergeCell ref="N304:N305"/>
    <mergeCell ref="B316:H317"/>
    <mergeCell ref="I316:I317"/>
    <mergeCell ref="J316:J317"/>
    <mergeCell ref="K316:K317"/>
    <mergeCell ref="L316:L317"/>
    <mergeCell ref="M316:M317"/>
    <mergeCell ref="N316:N317"/>
    <mergeCell ref="B310:H311"/>
    <mergeCell ref="I310:I311"/>
    <mergeCell ref="J310:J311"/>
    <mergeCell ref="K310:K311"/>
    <mergeCell ref="L310:L311"/>
    <mergeCell ref="M310:M311"/>
    <mergeCell ref="N310:N311"/>
    <mergeCell ref="B312:H313"/>
    <mergeCell ref="I312:I313"/>
    <mergeCell ref="J312:J313"/>
    <mergeCell ref="K312:K313"/>
    <mergeCell ref="L312:L313"/>
    <mergeCell ref="M312:M313"/>
    <mergeCell ref="N312:N313"/>
    <mergeCell ref="B328:H329"/>
    <mergeCell ref="I328:I329"/>
    <mergeCell ref="J328:J329"/>
    <mergeCell ref="K328:K329"/>
    <mergeCell ref="L328:L329"/>
    <mergeCell ref="M328:M329"/>
    <mergeCell ref="N328:N329"/>
    <mergeCell ref="B322:H323"/>
    <mergeCell ref="I322:I323"/>
    <mergeCell ref="J322:J323"/>
    <mergeCell ref="K322:K323"/>
    <mergeCell ref="L322:L323"/>
    <mergeCell ref="M322:M323"/>
    <mergeCell ref="N322:N323"/>
    <mergeCell ref="B324:H325"/>
    <mergeCell ref="I324:I325"/>
    <mergeCell ref="J324:J325"/>
    <mergeCell ref="K324:K325"/>
    <mergeCell ref="L324:L325"/>
    <mergeCell ref="M324:M325"/>
    <mergeCell ref="N324:N325"/>
    <mergeCell ref="K264:K265"/>
    <mergeCell ref="L264:L265"/>
    <mergeCell ref="M264:M265"/>
    <mergeCell ref="N264:N265"/>
    <mergeCell ref="B326:H327"/>
    <mergeCell ref="I326:I327"/>
    <mergeCell ref="J326:J327"/>
    <mergeCell ref="K326:K327"/>
    <mergeCell ref="L326:L327"/>
    <mergeCell ref="M326:M327"/>
    <mergeCell ref="N326:N327"/>
    <mergeCell ref="B318:H319"/>
    <mergeCell ref="I318:I319"/>
    <mergeCell ref="J318:J319"/>
    <mergeCell ref="K318:K319"/>
    <mergeCell ref="L318:L319"/>
    <mergeCell ref="M318:M319"/>
    <mergeCell ref="N318:N319"/>
    <mergeCell ref="B320:H321"/>
    <mergeCell ref="I320:I321"/>
    <mergeCell ref="J320:J321"/>
    <mergeCell ref="K320:K321"/>
    <mergeCell ref="L320:L321"/>
    <mergeCell ref="M320:M321"/>
    <mergeCell ref="N320:N321"/>
    <mergeCell ref="B314:H315"/>
    <mergeCell ref="I314:I315"/>
    <mergeCell ref="J314:J315"/>
    <mergeCell ref="K314:K315"/>
    <mergeCell ref="L314:L315"/>
    <mergeCell ref="M314:M315"/>
    <mergeCell ref="N314:N315"/>
    <mergeCell ref="N262:N263"/>
    <mergeCell ref="B349:H350"/>
    <mergeCell ref="I349:I350"/>
    <mergeCell ref="J349:J350"/>
    <mergeCell ref="K349:K350"/>
    <mergeCell ref="L349:L350"/>
    <mergeCell ref="M349:M350"/>
    <mergeCell ref="N349:N350"/>
    <mergeCell ref="B333:H335"/>
    <mergeCell ref="I333:I335"/>
    <mergeCell ref="J333:J335"/>
    <mergeCell ref="K333:K335"/>
    <mergeCell ref="L333:L335"/>
    <mergeCell ref="M333:M335"/>
    <mergeCell ref="N333:N335"/>
    <mergeCell ref="B336:H338"/>
    <mergeCell ref="I336:I338"/>
    <mergeCell ref="J336:J338"/>
    <mergeCell ref="K336:K338"/>
    <mergeCell ref="L336:L338"/>
    <mergeCell ref="M336:M338"/>
    <mergeCell ref="N336:N338"/>
    <mergeCell ref="B339:H341"/>
    <mergeCell ref="I339:I341"/>
    <mergeCell ref="J339:J341"/>
    <mergeCell ref="K339:K341"/>
    <mergeCell ref="L339:L341"/>
    <mergeCell ref="M339:M341"/>
    <mergeCell ref="N339:N341"/>
    <mergeCell ref="B264:H265"/>
    <mergeCell ref="I264:I265"/>
    <mergeCell ref="J264:J265"/>
    <mergeCell ref="Q6:Q7"/>
    <mergeCell ref="L2:N2"/>
    <mergeCell ref="L3:N3"/>
    <mergeCell ref="L4:N4"/>
    <mergeCell ref="M1:N1"/>
    <mergeCell ref="B342:H344"/>
    <mergeCell ref="I342:I344"/>
    <mergeCell ref="J342:J344"/>
    <mergeCell ref="K342:K344"/>
    <mergeCell ref="L342:L344"/>
    <mergeCell ref="M342:M344"/>
    <mergeCell ref="N342:N344"/>
    <mergeCell ref="B345:H348"/>
    <mergeCell ref="I345:I348"/>
    <mergeCell ref="J345:J348"/>
    <mergeCell ref="K345:K348"/>
    <mergeCell ref="L345:L348"/>
    <mergeCell ref="M345:M348"/>
    <mergeCell ref="N345:N348"/>
    <mergeCell ref="B330:H331"/>
    <mergeCell ref="I330:I331"/>
    <mergeCell ref="J330:J331"/>
    <mergeCell ref="K330:K331"/>
    <mergeCell ref="L330:L331"/>
    <mergeCell ref="M330:M331"/>
    <mergeCell ref="N330:N331"/>
    <mergeCell ref="B262:H263"/>
    <mergeCell ref="I262:I263"/>
    <mergeCell ref="J262:J263"/>
    <mergeCell ref="K262:K263"/>
    <mergeCell ref="L262:L263"/>
    <mergeCell ref="M262:M263"/>
  </mergeCells>
  <conditionalFormatting sqref="M116">
    <cfRule type="cellIs" dxfId="333" priority="768" operator="equal">
      <formula>"ja"</formula>
    </cfRule>
  </conditionalFormatting>
  <conditionalFormatting sqref="M133 M145">
    <cfRule type="cellIs" dxfId="332" priority="767" operator="equal">
      <formula>"ja"</formula>
    </cfRule>
  </conditionalFormatting>
  <conditionalFormatting sqref="M164">
    <cfRule type="cellIs" dxfId="331" priority="766" operator="equal">
      <formula>#REF!</formula>
    </cfRule>
  </conditionalFormatting>
  <conditionalFormatting sqref="M8 M10 M12 M14 M16 M18 M20 M22 M24 M26 M28 M30 M32 M34 M36 M38 M40 M42 M44 M46 M48 M50 M52 M54 M56 M58 M60 M62 M64 M66 M68">
    <cfRule type="expression" dxfId="330" priority="771">
      <formula>M8="JA"</formula>
    </cfRule>
  </conditionalFormatting>
  <conditionalFormatting sqref="B380:B387">
    <cfRule type="cellIs" dxfId="329" priority="761" operator="greaterThan">
      <formula>0</formula>
    </cfRule>
  </conditionalFormatting>
  <conditionalFormatting sqref="C380:D388">
    <cfRule type="cellIs" dxfId="328" priority="752" operator="greaterThan">
      <formula>0</formula>
    </cfRule>
    <cfRule type="expression" dxfId="327" priority="760">
      <formula>$B380&gt;=1</formula>
    </cfRule>
  </conditionalFormatting>
  <conditionalFormatting sqref="J8 J324:J325 J229:J230 J244:J245 J253:J254 J276:J277 J292:J293 J308 J318:J319">
    <cfRule type="expression" dxfId="326" priority="772">
      <formula>I8="ja"</formula>
    </cfRule>
  </conditionalFormatting>
  <conditionalFormatting sqref="J116">
    <cfRule type="expression" dxfId="325" priority="733">
      <formula>I116="ja"</formula>
    </cfRule>
  </conditionalFormatting>
  <conditionalFormatting sqref="J120:J121">
    <cfRule type="expression" dxfId="324" priority="622">
      <formula>I120="ja"</formula>
    </cfRule>
  </conditionalFormatting>
  <conditionalFormatting sqref="K8 K324:K325 K229:K230 K244:K245 K253:K254 K276:K277 K292:K293 K308 K318:K319">
    <cfRule type="expression" dxfId="323" priority="654">
      <formula>I8="ja"</formula>
    </cfRule>
  </conditionalFormatting>
  <conditionalFormatting sqref="J129">
    <cfRule type="expression" dxfId="322" priority="621">
      <formula>I129="ja"</formula>
    </cfRule>
  </conditionalFormatting>
  <conditionalFormatting sqref="J131">
    <cfRule type="expression" dxfId="321" priority="620">
      <formula>I131="ja"</formula>
    </cfRule>
  </conditionalFormatting>
  <conditionalFormatting sqref="K120:K121">
    <cfRule type="expression" dxfId="320" priority="619">
      <formula>I120="ja"</formula>
    </cfRule>
  </conditionalFormatting>
  <conditionalFormatting sqref="K129">
    <cfRule type="expression" dxfId="319" priority="618">
      <formula>I129="ja"</formula>
    </cfRule>
  </conditionalFormatting>
  <conditionalFormatting sqref="K131">
    <cfRule type="expression" dxfId="318" priority="617">
      <formula>I131="ja"</formula>
    </cfRule>
  </conditionalFormatting>
  <conditionalFormatting sqref="J141:J142">
    <cfRule type="expression" dxfId="317" priority="613">
      <formula>I141="ja"</formula>
    </cfRule>
  </conditionalFormatting>
  <conditionalFormatting sqref="J143">
    <cfRule type="expression" dxfId="316" priority="612">
      <formula>I143="ja"</formula>
    </cfRule>
  </conditionalFormatting>
  <conditionalFormatting sqref="K141:K142">
    <cfRule type="expression" dxfId="315" priority="611">
      <formula>I141="ja"</formula>
    </cfRule>
  </conditionalFormatting>
  <conditionalFormatting sqref="K143">
    <cfRule type="expression" dxfId="314" priority="610">
      <formula>I143="ja"</formula>
    </cfRule>
  </conditionalFormatting>
  <conditionalFormatting sqref="K149:K150">
    <cfRule type="expression" dxfId="313" priority="557">
      <formula>I149="ja"</formula>
    </cfRule>
  </conditionalFormatting>
  <conditionalFormatting sqref="J149:J150">
    <cfRule type="expression" dxfId="312" priority="559">
      <formula>I149="ja"</formula>
    </cfRule>
  </conditionalFormatting>
  <conditionalFormatting sqref="K152">
    <cfRule type="expression" dxfId="311" priority="556">
      <formula>I152="ja"</formula>
    </cfRule>
  </conditionalFormatting>
  <conditionalFormatting sqref="J152">
    <cfRule type="expression" dxfId="310" priority="558">
      <formula>I152="ja"</formula>
    </cfRule>
  </conditionalFormatting>
  <conditionalFormatting sqref="J154:J155">
    <cfRule type="expression" dxfId="309" priority="553">
      <formula>I154="ja"</formula>
    </cfRule>
  </conditionalFormatting>
  <conditionalFormatting sqref="K154:K155">
    <cfRule type="expression" dxfId="308" priority="552">
      <formula>I154="ja"</formula>
    </cfRule>
  </conditionalFormatting>
  <conditionalFormatting sqref="J154:J155">
    <cfRule type="expression" dxfId="307" priority="550">
      <formula>I154="ja"</formula>
    </cfRule>
  </conditionalFormatting>
  <conditionalFormatting sqref="K154:K155">
    <cfRule type="expression" dxfId="306" priority="549">
      <formula>I154="ja"</formula>
    </cfRule>
  </conditionalFormatting>
  <conditionalFormatting sqref="J162">
    <cfRule type="expression" dxfId="305" priority="541">
      <formula>I162="ja"</formula>
    </cfRule>
  </conditionalFormatting>
  <conditionalFormatting sqref="K162">
    <cfRule type="expression" dxfId="304" priority="540">
      <formula>I162="ja"</formula>
    </cfRule>
  </conditionalFormatting>
  <conditionalFormatting sqref="J162">
    <cfRule type="expression" dxfId="303" priority="544">
      <formula>I162="ja"</formula>
    </cfRule>
  </conditionalFormatting>
  <conditionalFormatting sqref="K162">
    <cfRule type="expression" dxfId="302" priority="543">
      <formula>I162="ja"</formula>
    </cfRule>
  </conditionalFormatting>
  <conditionalFormatting sqref="M120">
    <cfRule type="expression" dxfId="301" priority="504">
      <formula>M120="JA"</formula>
    </cfRule>
  </conditionalFormatting>
  <conditionalFormatting sqref="J24">
    <cfRule type="expression" dxfId="300" priority="483">
      <formula>I24="ja"</formula>
    </cfRule>
  </conditionalFormatting>
  <conditionalFormatting sqref="K24">
    <cfRule type="expression" dxfId="299" priority="482">
      <formula>I24="ja"</formula>
    </cfRule>
  </conditionalFormatting>
  <conditionalFormatting sqref="J26">
    <cfRule type="expression" dxfId="298" priority="481">
      <formula>I26="ja"</formula>
    </cfRule>
  </conditionalFormatting>
  <conditionalFormatting sqref="K26">
    <cfRule type="expression" dxfId="297" priority="480">
      <formula>I26="ja"</formula>
    </cfRule>
  </conditionalFormatting>
  <conditionalFormatting sqref="J28">
    <cfRule type="expression" dxfId="296" priority="479">
      <formula>I28="ja"</formula>
    </cfRule>
  </conditionalFormatting>
  <conditionalFormatting sqref="K28">
    <cfRule type="expression" dxfId="295" priority="478">
      <formula>I28="ja"</formula>
    </cfRule>
  </conditionalFormatting>
  <conditionalFormatting sqref="J30">
    <cfRule type="expression" dxfId="294" priority="477">
      <formula>I30="ja"</formula>
    </cfRule>
  </conditionalFormatting>
  <conditionalFormatting sqref="K30">
    <cfRule type="expression" dxfId="293" priority="476">
      <formula>I30="ja"</formula>
    </cfRule>
  </conditionalFormatting>
  <conditionalFormatting sqref="J32">
    <cfRule type="expression" dxfId="292" priority="475">
      <formula>I32="ja"</formula>
    </cfRule>
  </conditionalFormatting>
  <conditionalFormatting sqref="K32">
    <cfRule type="expression" dxfId="291" priority="474">
      <formula>I32="ja"</formula>
    </cfRule>
  </conditionalFormatting>
  <conditionalFormatting sqref="J34">
    <cfRule type="expression" dxfId="290" priority="473">
      <formula>I34="ja"</formula>
    </cfRule>
  </conditionalFormatting>
  <conditionalFormatting sqref="K34">
    <cfRule type="expression" dxfId="289" priority="472">
      <formula>I34="ja"</formula>
    </cfRule>
  </conditionalFormatting>
  <conditionalFormatting sqref="J36">
    <cfRule type="expression" dxfId="288" priority="471">
      <formula>I36="ja"</formula>
    </cfRule>
  </conditionalFormatting>
  <conditionalFormatting sqref="K36">
    <cfRule type="expression" dxfId="287" priority="470">
      <formula>I36="ja"</formula>
    </cfRule>
  </conditionalFormatting>
  <conditionalFormatting sqref="J38">
    <cfRule type="expression" dxfId="286" priority="469">
      <formula>I38="ja"</formula>
    </cfRule>
  </conditionalFormatting>
  <conditionalFormatting sqref="K38">
    <cfRule type="expression" dxfId="285" priority="468">
      <formula>I38="ja"</formula>
    </cfRule>
  </conditionalFormatting>
  <conditionalFormatting sqref="J40">
    <cfRule type="expression" dxfId="284" priority="467">
      <formula>I40="ja"</formula>
    </cfRule>
  </conditionalFormatting>
  <conditionalFormatting sqref="K40">
    <cfRule type="expression" dxfId="283" priority="466">
      <formula>I40="ja"</formula>
    </cfRule>
  </conditionalFormatting>
  <conditionalFormatting sqref="J42">
    <cfRule type="expression" dxfId="282" priority="465">
      <formula>I42="ja"</formula>
    </cfRule>
  </conditionalFormatting>
  <conditionalFormatting sqref="K42">
    <cfRule type="expression" dxfId="281" priority="464">
      <formula>I42="ja"</formula>
    </cfRule>
  </conditionalFormatting>
  <conditionalFormatting sqref="J74">
    <cfRule type="expression" dxfId="280" priority="463">
      <formula>I74="ja"</formula>
    </cfRule>
  </conditionalFormatting>
  <conditionalFormatting sqref="K74">
    <cfRule type="expression" dxfId="279" priority="462">
      <formula>I74="ja"</formula>
    </cfRule>
  </conditionalFormatting>
  <conditionalFormatting sqref="J76">
    <cfRule type="expression" dxfId="278" priority="461">
      <formula>I76="ja"</formula>
    </cfRule>
  </conditionalFormatting>
  <conditionalFormatting sqref="K76">
    <cfRule type="expression" dxfId="277" priority="460">
      <formula>I76="ja"</formula>
    </cfRule>
  </conditionalFormatting>
  <conditionalFormatting sqref="J78">
    <cfRule type="expression" dxfId="276" priority="459">
      <formula>I78="ja"</formula>
    </cfRule>
  </conditionalFormatting>
  <conditionalFormatting sqref="K78">
    <cfRule type="expression" dxfId="275" priority="458">
      <formula>I78="ja"</formula>
    </cfRule>
  </conditionalFormatting>
  <conditionalFormatting sqref="J80">
    <cfRule type="expression" dxfId="274" priority="457">
      <formula>I80="ja"</formula>
    </cfRule>
  </conditionalFormatting>
  <conditionalFormatting sqref="K80">
    <cfRule type="expression" dxfId="273" priority="456">
      <formula>I80="ja"</formula>
    </cfRule>
  </conditionalFormatting>
  <conditionalFormatting sqref="J82">
    <cfRule type="expression" dxfId="272" priority="455">
      <formula>I82="ja"</formula>
    </cfRule>
  </conditionalFormatting>
  <conditionalFormatting sqref="K82">
    <cfRule type="expression" dxfId="271" priority="454">
      <formula>I82="ja"</formula>
    </cfRule>
  </conditionalFormatting>
  <conditionalFormatting sqref="J84">
    <cfRule type="expression" dxfId="270" priority="453">
      <formula>I84="ja"</formula>
    </cfRule>
  </conditionalFormatting>
  <conditionalFormatting sqref="K84">
    <cfRule type="expression" dxfId="269" priority="452">
      <formula>I84="ja"</formula>
    </cfRule>
  </conditionalFormatting>
  <conditionalFormatting sqref="J86">
    <cfRule type="expression" dxfId="268" priority="451">
      <formula>I86="ja"</formula>
    </cfRule>
  </conditionalFormatting>
  <conditionalFormatting sqref="K86">
    <cfRule type="expression" dxfId="267" priority="450">
      <formula>I86="ja"</formula>
    </cfRule>
  </conditionalFormatting>
  <conditionalFormatting sqref="J88">
    <cfRule type="expression" dxfId="266" priority="449">
      <formula>I88="ja"</formula>
    </cfRule>
  </conditionalFormatting>
  <conditionalFormatting sqref="K88">
    <cfRule type="expression" dxfId="265" priority="448">
      <formula>I88="ja"</formula>
    </cfRule>
  </conditionalFormatting>
  <conditionalFormatting sqref="J90">
    <cfRule type="expression" dxfId="264" priority="447">
      <formula>I90="ja"</formula>
    </cfRule>
  </conditionalFormatting>
  <conditionalFormatting sqref="K90">
    <cfRule type="expression" dxfId="263" priority="446">
      <formula>I90="ja"</formula>
    </cfRule>
  </conditionalFormatting>
  <conditionalFormatting sqref="J92">
    <cfRule type="expression" dxfId="262" priority="445">
      <formula>I92="ja"</formula>
    </cfRule>
  </conditionalFormatting>
  <conditionalFormatting sqref="K92">
    <cfRule type="expression" dxfId="261" priority="444">
      <formula>I92="ja"</formula>
    </cfRule>
  </conditionalFormatting>
  <conditionalFormatting sqref="J114">
    <cfRule type="expression" dxfId="260" priority="431">
      <formula>I114="ja"</formula>
    </cfRule>
  </conditionalFormatting>
  <conditionalFormatting sqref="K114">
    <cfRule type="expression" dxfId="259" priority="430">
      <formula>I114="ja"</formula>
    </cfRule>
  </conditionalFormatting>
  <conditionalFormatting sqref="J94">
    <cfRule type="expression" dxfId="258" priority="441">
      <formula>I94="ja"</formula>
    </cfRule>
  </conditionalFormatting>
  <conditionalFormatting sqref="K94">
    <cfRule type="expression" dxfId="257" priority="440">
      <formula>I94="ja"</formula>
    </cfRule>
  </conditionalFormatting>
  <conditionalFormatting sqref="J96">
    <cfRule type="expression" dxfId="256" priority="439">
      <formula>I96="ja"</formula>
    </cfRule>
  </conditionalFormatting>
  <conditionalFormatting sqref="K96">
    <cfRule type="expression" dxfId="255" priority="438">
      <formula>I96="ja"</formula>
    </cfRule>
  </conditionalFormatting>
  <conditionalFormatting sqref="J98">
    <cfRule type="expression" dxfId="254" priority="437">
      <formula>I98="ja"</formula>
    </cfRule>
  </conditionalFormatting>
  <conditionalFormatting sqref="K98">
    <cfRule type="expression" dxfId="253" priority="436">
      <formula>I98="ja"</formula>
    </cfRule>
  </conditionalFormatting>
  <conditionalFormatting sqref="J100">
    <cfRule type="expression" dxfId="252" priority="435">
      <formula>I100="ja"</formula>
    </cfRule>
  </conditionalFormatting>
  <conditionalFormatting sqref="K100">
    <cfRule type="expression" dxfId="251" priority="434">
      <formula>I100="ja"</formula>
    </cfRule>
  </conditionalFormatting>
  <conditionalFormatting sqref="J102">
    <cfRule type="expression" dxfId="250" priority="433">
      <formula>I102="ja"</formula>
    </cfRule>
  </conditionalFormatting>
  <conditionalFormatting sqref="K102">
    <cfRule type="expression" dxfId="249" priority="432">
      <formula>I102="ja"</formula>
    </cfRule>
  </conditionalFormatting>
  <conditionalFormatting sqref="J10">
    <cfRule type="expression" dxfId="248" priority="429">
      <formula>I10="ja"</formula>
    </cfRule>
  </conditionalFormatting>
  <conditionalFormatting sqref="K10">
    <cfRule type="expression" dxfId="247" priority="428">
      <formula>I10="ja"</formula>
    </cfRule>
  </conditionalFormatting>
  <conditionalFormatting sqref="J12">
    <cfRule type="expression" dxfId="246" priority="427">
      <formula>I12="ja"</formula>
    </cfRule>
  </conditionalFormatting>
  <conditionalFormatting sqref="K12">
    <cfRule type="expression" dxfId="245" priority="426">
      <formula>I12="ja"</formula>
    </cfRule>
  </conditionalFormatting>
  <conditionalFormatting sqref="J14">
    <cfRule type="expression" dxfId="244" priority="425">
      <formula>I14="ja"</formula>
    </cfRule>
  </conditionalFormatting>
  <conditionalFormatting sqref="K14">
    <cfRule type="expression" dxfId="243" priority="424">
      <formula>I14="ja"</formula>
    </cfRule>
  </conditionalFormatting>
  <conditionalFormatting sqref="J16">
    <cfRule type="expression" dxfId="242" priority="423">
      <formula>I16="ja"</formula>
    </cfRule>
  </conditionalFormatting>
  <conditionalFormatting sqref="K16">
    <cfRule type="expression" dxfId="241" priority="422">
      <formula>I16="ja"</formula>
    </cfRule>
  </conditionalFormatting>
  <conditionalFormatting sqref="J18">
    <cfRule type="expression" dxfId="240" priority="421">
      <formula>I18="ja"</formula>
    </cfRule>
  </conditionalFormatting>
  <conditionalFormatting sqref="K18">
    <cfRule type="expression" dxfId="239" priority="420">
      <formula>I18="ja"</formula>
    </cfRule>
  </conditionalFormatting>
  <conditionalFormatting sqref="J20">
    <cfRule type="expression" dxfId="238" priority="419">
      <formula>I20="ja"</formula>
    </cfRule>
  </conditionalFormatting>
  <conditionalFormatting sqref="K20">
    <cfRule type="expression" dxfId="237" priority="418">
      <formula>I20="ja"</formula>
    </cfRule>
  </conditionalFormatting>
  <conditionalFormatting sqref="J22">
    <cfRule type="expression" dxfId="236" priority="417">
      <formula>I22="ja"</formula>
    </cfRule>
  </conditionalFormatting>
  <conditionalFormatting sqref="K22">
    <cfRule type="expression" dxfId="235" priority="416">
      <formula>I22="ja"</formula>
    </cfRule>
  </conditionalFormatting>
  <conditionalFormatting sqref="B388">
    <cfRule type="cellIs" dxfId="234" priority="415" operator="greaterThan">
      <formula>0</formula>
    </cfRule>
  </conditionalFormatting>
  <conditionalFormatting sqref="J44">
    <cfRule type="expression" dxfId="233" priority="411">
      <formula>I44="ja"</formula>
    </cfRule>
  </conditionalFormatting>
  <conditionalFormatting sqref="K44">
    <cfRule type="expression" dxfId="232" priority="410">
      <formula>I44="ja"</formula>
    </cfRule>
  </conditionalFormatting>
  <conditionalFormatting sqref="J46">
    <cfRule type="expression" dxfId="231" priority="408">
      <formula>I46="ja"</formula>
    </cfRule>
  </conditionalFormatting>
  <conditionalFormatting sqref="K46">
    <cfRule type="expression" dxfId="230" priority="407">
      <formula>I46="ja"</formula>
    </cfRule>
  </conditionalFormatting>
  <conditionalFormatting sqref="J48">
    <cfRule type="expression" dxfId="229" priority="403">
      <formula>I48="ja"</formula>
    </cfRule>
  </conditionalFormatting>
  <conditionalFormatting sqref="K48">
    <cfRule type="expression" dxfId="228" priority="402">
      <formula>I48="ja"</formula>
    </cfRule>
  </conditionalFormatting>
  <conditionalFormatting sqref="J50">
    <cfRule type="expression" dxfId="227" priority="401">
      <formula>I50="ja"</formula>
    </cfRule>
  </conditionalFormatting>
  <conditionalFormatting sqref="K50">
    <cfRule type="expression" dxfId="226" priority="400">
      <formula>I50="ja"</formula>
    </cfRule>
  </conditionalFormatting>
  <conditionalFormatting sqref="J52">
    <cfRule type="expression" dxfId="225" priority="398">
      <formula>I52="ja"</formula>
    </cfRule>
  </conditionalFormatting>
  <conditionalFormatting sqref="K52">
    <cfRule type="expression" dxfId="224" priority="397">
      <formula>I52="ja"</formula>
    </cfRule>
  </conditionalFormatting>
  <conditionalFormatting sqref="J54">
    <cfRule type="expression" dxfId="223" priority="396">
      <formula>I54="ja"</formula>
    </cfRule>
  </conditionalFormatting>
  <conditionalFormatting sqref="K54">
    <cfRule type="expression" dxfId="222" priority="395">
      <formula>I54="ja"</formula>
    </cfRule>
  </conditionalFormatting>
  <conditionalFormatting sqref="J68">
    <cfRule type="expression" dxfId="221" priority="393">
      <formula>I68="ja"</formula>
    </cfRule>
  </conditionalFormatting>
  <conditionalFormatting sqref="K68">
    <cfRule type="expression" dxfId="220" priority="392">
      <formula>I68="ja"</formula>
    </cfRule>
  </conditionalFormatting>
  <conditionalFormatting sqref="K168:K170">
    <cfRule type="expression" dxfId="219" priority="388">
      <formula>I168="ja"</formula>
    </cfRule>
  </conditionalFormatting>
  <conditionalFormatting sqref="J168:J170">
    <cfRule type="expression" dxfId="218" priority="390">
      <formula>I168="ja"</formula>
    </cfRule>
  </conditionalFormatting>
  <conditionalFormatting sqref="K178">
    <cfRule type="expression" dxfId="217" priority="387">
      <formula>I178="ja"</formula>
    </cfRule>
  </conditionalFormatting>
  <conditionalFormatting sqref="J178">
    <cfRule type="expression" dxfId="216" priority="389">
      <formula>I178="ja"</formula>
    </cfRule>
  </conditionalFormatting>
  <conditionalFormatting sqref="J180:J181">
    <cfRule type="expression" dxfId="215" priority="386">
      <formula>I180="ja"</formula>
    </cfRule>
  </conditionalFormatting>
  <conditionalFormatting sqref="K180:K181">
    <cfRule type="expression" dxfId="214" priority="385">
      <formula>I180="ja"</formula>
    </cfRule>
  </conditionalFormatting>
  <conditionalFormatting sqref="J180:J181">
    <cfRule type="expression" dxfId="213" priority="384">
      <formula>I180="ja"</formula>
    </cfRule>
  </conditionalFormatting>
  <conditionalFormatting sqref="K180:K181">
    <cfRule type="expression" dxfId="212" priority="383">
      <formula>I180="ja"</formula>
    </cfRule>
  </conditionalFormatting>
  <conditionalFormatting sqref="M168:M169">
    <cfRule type="expression" dxfId="211" priority="378">
      <formula>M168="JA"</formula>
    </cfRule>
  </conditionalFormatting>
  <conditionalFormatting sqref="J56">
    <cfRule type="expression" dxfId="210" priority="373">
      <formula>I56="ja"</formula>
    </cfRule>
  </conditionalFormatting>
  <conditionalFormatting sqref="K56">
    <cfRule type="expression" dxfId="209" priority="372">
      <formula>I56="ja"</formula>
    </cfRule>
  </conditionalFormatting>
  <conditionalFormatting sqref="J58">
    <cfRule type="expression" dxfId="208" priority="371">
      <formula>I58="ja"</formula>
    </cfRule>
  </conditionalFormatting>
  <conditionalFormatting sqref="K58">
    <cfRule type="expression" dxfId="207" priority="370">
      <formula>I58="ja"</formula>
    </cfRule>
  </conditionalFormatting>
  <conditionalFormatting sqref="J60">
    <cfRule type="expression" dxfId="206" priority="366">
      <formula>I60="ja"</formula>
    </cfRule>
  </conditionalFormatting>
  <conditionalFormatting sqref="K60">
    <cfRule type="expression" dxfId="205" priority="365">
      <formula>I60="ja"</formula>
    </cfRule>
  </conditionalFormatting>
  <conditionalFormatting sqref="J62">
    <cfRule type="expression" dxfId="204" priority="364">
      <formula>I62="ja"</formula>
    </cfRule>
  </conditionalFormatting>
  <conditionalFormatting sqref="K62">
    <cfRule type="expression" dxfId="203" priority="363">
      <formula>I62="ja"</formula>
    </cfRule>
  </conditionalFormatting>
  <conditionalFormatting sqref="J64">
    <cfRule type="expression" dxfId="202" priority="361">
      <formula>I64="ja"</formula>
    </cfRule>
  </conditionalFormatting>
  <conditionalFormatting sqref="K64">
    <cfRule type="expression" dxfId="201" priority="360">
      <formula>I64="ja"</formula>
    </cfRule>
  </conditionalFormatting>
  <conditionalFormatting sqref="J66">
    <cfRule type="expression" dxfId="200" priority="359">
      <formula>I66="ja"</formula>
    </cfRule>
  </conditionalFormatting>
  <conditionalFormatting sqref="K66">
    <cfRule type="expression" dxfId="199" priority="358">
      <formula>I66="ja"</formula>
    </cfRule>
  </conditionalFormatting>
  <conditionalFormatting sqref="J104">
    <cfRule type="expression" dxfId="198" priority="352">
      <formula>I104="ja"</formula>
    </cfRule>
  </conditionalFormatting>
  <conditionalFormatting sqref="K104">
    <cfRule type="expression" dxfId="197" priority="351">
      <formula>I104="ja"</formula>
    </cfRule>
  </conditionalFormatting>
  <conditionalFormatting sqref="J106">
    <cfRule type="expression" dxfId="196" priority="350">
      <formula>I106="ja"</formula>
    </cfRule>
  </conditionalFormatting>
  <conditionalFormatting sqref="K106">
    <cfRule type="expression" dxfId="195" priority="349">
      <formula>I106="ja"</formula>
    </cfRule>
  </conditionalFormatting>
  <conditionalFormatting sqref="J108">
    <cfRule type="expression" dxfId="194" priority="348">
      <formula>I108="ja"</formula>
    </cfRule>
  </conditionalFormatting>
  <conditionalFormatting sqref="K108">
    <cfRule type="expression" dxfId="193" priority="347">
      <formula>I108="ja"</formula>
    </cfRule>
  </conditionalFormatting>
  <conditionalFormatting sqref="J112">
    <cfRule type="expression" dxfId="192" priority="346">
      <formula>I112="ja"</formula>
    </cfRule>
  </conditionalFormatting>
  <conditionalFormatting sqref="K112">
    <cfRule type="expression" dxfId="191" priority="345">
      <formula>I112="ja"</formula>
    </cfRule>
  </conditionalFormatting>
  <conditionalFormatting sqref="J110">
    <cfRule type="expression" dxfId="190" priority="343">
      <formula>I110="ja"</formula>
    </cfRule>
  </conditionalFormatting>
  <conditionalFormatting sqref="K110">
    <cfRule type="expression" dxfId="189" priority="342">
      <formula>I110="ja"</formula>
    </cfRule>
  </conditionalFormatting>
  <conditionalFormatting sqref="J127">
    <cfRule type="expression" dxfId="188" priority="341">
      <formula>I127="ja"</formula>
    </cfRule>
  </conditionalFormatting>
  <conditionalFormatting sqref="K127">
    <cfRule type="expression" dxfId="187" priority="340">
      <formula>I127="ja"</formula>
    </cfRule>
  </conditionalFormatting>
  <conditionalFormatting sqref="J125">
    <cfRule type="expression" dxfId="186" priority="338">
      <formula>I125="ja"</formula>
    </cfRule>
  </conditionalFormatting>
  <conditionalFormatting sqref="K125">
    <cfRule type="expression" dxfId="185" priority="337">
      <formula>I125="ja"</formula>
    </cfRule>
  </conditionalFormatting>
  <conditionalFormatting sqref="J123">
    <cfRule type="expression" dxfId="184" priority="335">
      <formula>I123="ja"</formula>
    </cfRule>
  </conditionalFormatting>
  <conditionalFormatting sqref="K123">
    <cfRule type="expression" dxfId="183" priority="334">
      <formula>I123="ja"</formula>
    </cfRule>
  </conditionalFormatting>
  <conditionalFormatting sqref="M123 M125 M127 M129 M131">
    <cfRule type="expression" dxfId="182" priority="333">
      <formula>M123="JA"</formula>
    </cfRule>
  </conditionalFormatting>
  <conditionalFormatting sqref="J139:J140">
    <cfRule type="expression" dxfId="181" priority="332">
      <formula>I139="ja"</formula>
    </cfRule>
  </conditionalFormatting>
  <conditionalFormatting sqref="K139:K140">
    <cfRule type="expression" dxfId="180" priority="331">
      <formula>I139="ja"</formula>
    </cfRule>
  </conditionalFormatting>
  <conditionalFormatting sqref="J137:J138">
    <cfRule type="expression" dxfId="179" priority="329">
      <formula>I137="ja"</formula>
    </cfRule>
  </conditionalFormatting>
  <conditionalFormatting sqref="K137:K138">
    <cfRule type="expression" dxfId="178" priority="328">
      <formula>I137="ja"</formula>
    </cfRule>
  </conditionalFormatting>
  <conditionalFormatting sqref="J160">
    <cfRule type="expression" dxfId="177" priority="324">
      <formula>I160="ja"</formula>
    </cfRule>
  </conditionalFormatting>
  <conditionalFormatting sqref="K160">
    <cfRule type="expression" dxfId="176" priority="323">
      <formula>I160="ja"</formula>
    </cfRule>
  </conditionalFormatting>
  <conditionalFormatting sqref="J160">
    <cfRule type="expression" dxfId="175" priority="326">
      <formula>I160="ja"</formula>
    </cfRule>
  </conditionalFormatting>
  <conditionalFormatting sqref="K160">
    <cfRule type="expression" dxfId="174" priority="325">
      <formula>I160="ja"</formula>
    </cfRule>
  </conditionalFormatting>
  <conditionalFormatting sqref="J158">
    <cfRule type="expression" dxfId="173" priority="319">
      <formula>I158="ja"</formula>
    </cfRule>
  </conditionalFormatting>
  <conditionalFormatting sqref="K158">
    <cfRule type="expression" dxfId="172" priority="318">
      <formula>I158="ja"</formula>
    </cfRule>
  </conditionalFormatting>
  <conditionalFormatting sqref="J158">
    <cfRule type="expression" dxfId="171" priority="321">
      <formula>I158="ja"</formula>
    </cfRule>
  </conditionalFormatting>
  <conditionalFormatting sqref="K158">
    <cfRule type="expression" dxfId="170" priority="320">
      <formula>I158="ja"</formula>
    </cfRule>
  </conditionalFormatting>
  <conditionalFormatting sqref="J156">
    <cfRule type="expression" dxfId="169" priority="314">
      <formula>I156="ja"</formula>
    </cfRule>
  </conditionalFormatting>
  <conditionalFormatting sqref="K156">
    <cfRule type="expression" dxfId="168" priority="313">
      <formula>I156="ja"</formula>
    </cfRule>
  </conditionalFormatting>
  <conditionalFormatting sqref="J156">
    <cfRule type="expression" dxfId="167" priority="316">
      <formula>I156="ja"</formula>
    </cfRule>
  </conditionalFormatting>
  <conditionalFormatting sqref="K156">
    <cfRule type="expression" dxfId="166" priority="315">
      <formula>I156="ja"</formula>
    </cfRule>
  </conditionalFormatting>
  <conditionalFormatting sqref="K174">
    <cfRule type="expression" dxfId="165" priority="310">
      <formula>I174="ja"</formula>
    </cfRule>
  </conditionalFormatting>
  <conditionalFormatting sqref="J174">
    <cfRule type="expression" dxfId="164" priority="311">
      <formula>I174="ja"</formula>
    </cfRule>
  </conditionalFormatting>
  <conditionalFormatting sqref="K172">
    <cfRule type="expression" dxfId="163" priority="307">
      <formula>I172="ja"</formula>
    </cfRule>
  </conditionalFormatting>
  <conditionalFormatting sqref="J172">
    <cfRule type="expression" dxfId="162" priority="308">
      <formula>I172="ja"</formula>
    </cfRule>
  </conditionalFormatting>
  <conditionalFormatting sqref="K176">
    <cfRule type="expression" dxfId="161" priority="304">
      <formula>I176="ja"</formula>
    </cfRule>
  </conditionalFormatting>
  <conditionalFormatting sqref="J176">
    <cfRule type="expression" dxfId="160" priority="305">
      <formula>I176="ja"</formula>
    </cfRule>
  </conditionalFormatting>
  <conditionalFormatting sqref="M257:M260">
    <cfRule type="expression" dxfId="159" priority="210">
      <formula>M257="JA"</formula>
    </cfRule>
  </conditionalFormatting>
  <conditionalFormatting sqref="M186:M187">
    <cfRule type="expression" dxfId="158" priority="301">
      <formula>M186="JA"</formula>
    </cfRule>
  </conditionalFormatting>
  <conditionalFormatting sqref="J186:J187">
    <cfRule type="expression" dxfId="157" priority="302">
      <formula>I186="ja"</formula>
    </cfRule>
  </conditionalFormatting>
  <conditionalFormatting sqref="K186:K187">
    <cfRule type="expression" dxfId="156" priority="300">
      <formula>I186="ja"</formula>
    </cfRule>
  </conditionalFormatting>
  <conditionalFormatting sqref="M195:M198">
    <cfRule type="expression" dxfId="155" priority="296">
      <formula>M195="JA"</formula>
    </cfRule>
  </conditionalFormatting>
  <conditionalFormatting sqref="J207:J208">
    <cfRule type="expression" dxfId="154" priority="282">
      <formula>I207="ja"</formula>
    </cfRule>
  </conditionalFormatting>
  <conditionalFormatting sqref="K207:K208">
    <cfRule type="expression" dxfId="153" priority="281">
      <formula>I207="ja"</formula>
    </cfRule>
  </conditionalFormatting>
  <conditionalFormatting sqref="J214">
    <cfRule type="expression" dxfId="152" priority="274">
      <formula>I214="ja"</formula>
    </cfRule>
  </conditionalFormatting>
  <conditionalFormatting sqref="K214">
    <cfRule type="expression" dxfId="151" priority="273">
      <formula>I214="ja"</formula>
    </cfRule>
  </conditionalFormatting>
  <conditionalFormatting sqref="J210">
    <cfRule type="expression" dxfId="150" priority="278">
      <formula>I210="ja"</formula>
    </cfRule>
  </conditionalFormatting>
  <conditionalFormatting sqref="K210">
    <cfRule type="expression" dxfId="149" priority="277">
      <formula>I210="ja"</formula>
    </cfRule>
  </conditionalFormatting>
  <conditionalFormatting sqref="J212">
    <cfRule type="expression" dxfId="148" priority="276">
      <formula>I212="ja"</formula>
    </cfRule>
  </conditionalFormatting>
  <conditionalFormatting sqref="K212">
    <cfRule type="expression" dxfId="147" priority="275">
      <formula>I212="ja"</formula>
    </cfRule>
  </conditionalFormatting>
  <conditionalFormatting sqref="J216">
    <cfRule type="expression" dxfId="146" priority="272">
      <formula>I216="ja"</formula>
    </cfRule>
  </conditionalFormatting>
  <conditionalFormatting sqref="K216">
    <cfRule type="expression" dxfId="145" priority="271">
      <formula>I216="ja"</formula>
    </cfRule>
  </conditionalFormatting>
  <conditionalFormatting sqref="J218">
    <cfRule type="expression" dxfId="144" priority="270">
      <formula>I218="ja"</formula>
    </cfRule>
  </conditionalFormatting>
  <conditionalFormatting sqref="K218">
    <cfRule type="expression" dxfId="143" priority="269">
      <formula>I218="ja"</formula>
    </cfRule>
  </conditionalFormatting>
  <conditionalFormatting sqref="J220:J221">
    <cfRule type="expression" dxfId="142" priority="268">
      <formula>I220="ja"</formula>
    </cfRule>
  </conditionalFormatting>
  <conditionalFormatting sqref="K220:K221">
    <cfRule type="expression" dxfId="141" priority="267">
      <formula>I220="ja"</formula>
    </cfRule>
  </conditionalFormatting>
  <conditionalFormatting sqref="J223">
    <cfRule type="expression" dxfId="140" priority="266">
      <formula>I223="ja"</formula>
    </cfRule>
  </conditionalFormatting>
  <conditionalFormatting sqref="K223">
    <cfRule type="expression" dxfId="139" priority="265">
      <formula>I223="ja"</formula>
    </cfRule>
  </conditionalFormatting>
  <conditionalFormatting sqref="J225">
    <cfRule type="expression" dxfId="138" priority="264">
      <formula>I225="ja"</formula>
    </cfRule>
  </conditionalFormatting>
  <conditionalFormatting sqref="K225">
    <cfRule type="expression" dxfId="137" priority="263">
      <formula>I225="ja"</formula>
    </cfRule>
  </conditionalFormatting>
  <conditionalFormatting sqref="J189">
    <cfRule type="expression" dxfId="136" priority="262">
      <formula>I189="ja"</formula>
    </cfRule>
  </conditionalFormatting>
  <conditionalFormatting sqref="K189">
    <cfRule type="expression" dxfId="135" priority="261">
      <formula>I189="ja"</formula>
    </cfRule>
  </conditionalFormatting>
  <conditionalFormatting sqref="J191">
    <cfRule type="expression" dxfId="134" priority="260">
      <formula>I191="ja"</formula>
    </cfRule>
  </conditionalFormatting>
  <conditionalFormatting sqref="K191">
    <cfRule type="expression" dxfId="133" priority="259">
      <formula>I191="ja"</formula>
    </cfRule>
  </conditionalFormatting>
  <conditionalFormatting sqref="J193">
    <cfRule type="expression" dxfId="132" priority="258">
      <formula>I193="ja"</formula>
    </cfRule>
  </conditionalFormatting>
  <conditionalFormatting sqref="K193">
    <cfRule type="expression" dxfId="131" priority="257">
      <formula>I193="ja"</formula>
    </cfRule>
  </conditionalFormatting>
  <conditionalFormatting sqref="J195:J198">
    <cfRule type="expression" dxfId="130" priority="256">
      <formula>I195="ja"</formula>
    </cfRule>
  </conditionalFormatting>
  <conditionalFormatting sqref="K195:K198">
    <cfRule type="expression" dxfId="129" priority="255">
      <formula>I195="ja"</formula>
    </cfRule>
  </conditionalFormatting>
  <conditionalFormatting sqref="J200:J201">
    <cfRule type="expression" dxfId="128" priority="254">
      <formula>I200="ja"</formula>
    </cfRule>
  </conditionalFormatting>
  <conditionalFormatting sqref="K200:K201">
    <cfRule type="expression" dxfId="127" priority="253">
      <formula>I200="ja"</formula>
    </cfRule>
  </conditionalFormatting>
  <conditionalFormatting sqref="J203">
    <cfRule type="expression" dxfId="126" priority="252">
      <formula>I203="ja"</formula>
    </cfRule>
  </conditionalFormatting>
  <conditionalFormatting sqref="K203">
    <cfRule type="expression" dxfId="125" priority="251">
      <formula>I203="ja"</formula>
    </cfRule>
  </conditionalFormatting>
  <conditionalFormatting sqref="J205">
    <cfRule type="expression" dxfId="124" priority="250">
      <formula>I205="ja"</formula>
    </cfRule>
  </conditionalFormatting>
  <conditionalFormatting sqref="K205">
    <cfRule type="expression" dxfId="123" priority="249">
      <formula>I205="ja"</formula>
    </cfRule>
  </conditionalFormatting>
  <conditionalFormatting sqref="J227">
    <cfRule type="expression" dxfId="122" priority="247">
      <formula>I227="ja"</formula>
    </cfRule>
  </conditionalFormatting>
  <conditionalFormatting sqref="K227">
    <cfRule type="expression" dxfId="121" priority="246">
      <formula>I227="ja"</formula>
    </cfRule>
  </conditionalFormatting>
  <conditionalFormatting sqref="M233:M238">
    <cfRule type="expression" dxfId="120" priority="241">
      <formula>M233="JA"</formula>
    </cfRule>
  </conditionalFormatting>
  <conditionalFormatting sqref="J231">
    <cfRule type="expression" dxfId="119" priority="240">
      <formula>I231="ja"</formula>
    </cfRule>
  </conditionalFormatting>
  <conditionalFormatting sqref="K231">
    <cfRule type="expression" dxfId="118" priority="239">
      <formula>I231="ja"</formula>
    </cfRule>
  </conditionalFormatting>
  <conditionalFormatting sqref="J233:J238">
    <cfRule type="expression" dxfId="117" priority="238">
      <formula>I233="ja"</formula>
    </cfRule>
  </conditionalFormatting>
  <conditionalFormatting sqref="K233:K238">
    <cfRule type="expression" dxfId="116" priority="237">
      <formula>I233="ja"</formula>
    </cfRule>
  </conditionalFormatting>
  <conditionalFormatting sqref="J240">
    <cfRule type="expression" dxfId="115" priority="235">
      <formula>I240="ja"</formula>
    </cfRule>
  </conditionalFormatting>
  <conditionalFormatting sqref="K240">
    <cfRule type="expression" dxfId="114" priority="234">
      <formula>I240="ja"</formula>
    </cfRule>
  </conditionalFormatting>
  <conditionalFormatting sqref="J242:J243">
    <cfRule type="expression" dxfId="113" priority="233">
      <formula>I242="ja"</formula>
    </cfRule>
  </conditionalFormatting>
  <conditionalFormatting sqref="K242:K243">
    <cfRule type="expression" dxfId="112" priority="232">
      <formula>I242="ja"</formula>
    </cfRule>
  </conditionalFormatting>
  <conditionalFormatting sqref="J266">
    <cfRule type="expression" dxfId="111" priority="230">
      <formula>I266="ja"</formula>
    </cfRule>
  </conditionalFormatting>
  <conditionalFormatting sqref="K266">
    <cfRule type="expression" dxfId="110" priority="229">
      <formula>I266="ja"</formula>
    </cfRule>
  </conditionalFormatting>
  <conditionalFormatting sqref="J246:J247">
    <cfRule type="expression" dxfId="109" priority="224">
      <formula>I246="ja"</formula>
    </cfRule>
  </conditionalFormatting>
  <conditionalFormatting sqref="K246:K247">
    <cfRule type="expression" dxfId="108" priority="223">
      <formula>I246="ja"</formula>
    </cfRule>
  </conditionalFormatting>
  <conditionalFormatting sqref="M249:M251">
    <cfRule type="expression" dxfId="107" priority="221">
      <formula>M249="JA"</formula>
    </cfRule>
  </conditionalFormatting>
  <conditionalFormatting sqref="J249:J251">
    <cfRule type="expression" dxfId="106" priority="219">
      <formula>I249="ja"</formula>
    </cfRule>
  </conditionalFormatting>
  <conditionalFormatting sqref="K249:K251">
    <cfRule type="expression" dxfId="105" priority="218">
      <formula>I249="ja"</formula>
    </cfRule>
  </conditionalFormatting>
  <conditionalFormatting sqref="J255">
    <cfRule type="expression" dxfId="104" priority="214">
      <formula>I255="ja"</formula>
    </cfRule>
  </conditionalFormatting>
  <conditionalFormatting sqref="K255">
    <cfRule type="expression" dxfId="103" priority="213">
      <formula>I255="ja"</formula>
    </cfRule>
  </conditionalFormatting>
  <conditionalFormatting sqref="J257:J260">
    <cfRule type="expression" dxfId="102" priority="212">
      <formula>I257="ja"</formula>
    </cfRule>
  </conditionalFormatting>
  <conditionalFormatting sqref="K257:K260">
    <cfRule type="expression" dxfId="101" priority="211">
      <formula>I257="ja"</formula>
    </cfRule>
  </conditionalFormatting>
  <conditionalFormatting sqref="J268:J269">
    <cfRule type="expression" dxfId="100" priority="209">
      <formula>I268="ja"</formula>
    </cfRule>
  </conditionalFormatting>
  <conditionalFormatting sqref="K268:K269">
    <cfRule type="expression" dxfId="99" priority="207">
      <formula>I268="ja"</formula>
    </cfRule>
  </conditionalFormatting>
  <conditionalFormatting sqref="M297:M298">
    <cfRule type="expression" dxfId="98" priority="193">
      <formula>M297="JA"</formula>
    </cfRule>
  </conditionalFormatting>
  <conditionalFormatting sqref="J284:J285">
    <cfRule type="expression" dxfId="97" priority="189">
      <formula>I284="ja"</formula>
    </cfRule>
  </conditionalFormatting>
  <conditionalFormatting sqref="K284:K285">
    <cfRule type="expression" dxfId="96" priority="188">
      <formula>I284="ja"</formula>
    </cfRule>
  </conditionalFormatting>
  <conditionalFormatting sqref="J286:J287">
    <cfRule type="expression" dxfId="95" priority="187">
      <formula>I286="ja"</formula>
    </cfRule>
  </conditionalFormatting>
  <conditionalFormatting sqref="K286:K287">
    <cfRule type="expression" dxfId="94" priority="186">
      <formula>I286="ja"</formula>
    </cfRule>
  </conditionalFormatting>
  <conditionalFormatting sqref="J288">
    <cfRule type="expression" dxfId="93" priority="185">
      <formula>I288="ja"</formula>
    </cfRule>
  </conditionalFormatting>
  <conditionalFormatting sqref="K288">
    <cfRule type="expression" dxfId="92" priority="184">
      <formula>I288="ja"</formula>
    </cfRule>
  </conditionalFormatting>
  <conditionalFormatting sqref="J290">
    <cfRule type="expression" dxfId="91" priority="183">
      <formula>I290="ja"</formula>
    </cfRule>
  </conditionalFormatting>
  <conditionalFormatting sqref="K290">
    <cfRule type="expression" dxfId="90" priority="182">
      <formula>I290="ja"</formula>
    </cfRule>
  </conditionalFormatting>
  <conditionalFormatting sqref="J295">
    <cfRule type="expression" dxfId="89" priority="179">
      <formula>I295="ja"</formula>
    </cfRule>
  </conditionalFormatting>
  <conditionalFormatting sqref="K295">
    <cfRule type="expression" dxfId="88" priority="178">
      <formula>I295="ja"</formula>
    </cfRule>
  </conditionalFormatting>
  <conditionalFormatting sqref="J297:J298">
    <cfRule type="expression" dxfId="87" priority="177">
      <formula>I297="ja"</formula>
    </cfRule>
  </conditionalFormatting>
  <conditionalFormatting sqref="K297:K298">
    <cfRule type="expression" dxfId="86" priority="176">
      <formula>I297="ja"</formula>
    </cfRule>
  </conditionalFormatting>
  <conditionalFormatting sqref="J300">
    <cfRule type="expression" dxfId="85" priority="175">
      <formula>I300="ja"</formula>
    </cfRule>
  </conditionalFormatting>
  <conditionalFormatting sqref="K300">
    <cfRule type="expression" dxfId="84" priority="174">
      <formula>I300="ja"</formula>
    </cfRule>
  </conditionalFormatting>
  <conditionalFormatting sqref="J302">
    <cfRule type="expression" dxfId="83" priority="173">
      <formula>I302="ja"</formula>
    </cfRule>
  </conditionalFormatting>
  <conditionalFormatting sqref="K302">
    <cfRule type="expression" dxfId="82" priority="172">
      <formula>I302="ja"</formula>
    </cfRule>
  </conditionalFormatting>
  <conditionalFormatting sqref="J304">
    <cfRule type="expression" dxfId="81" priority="171">
      <formula>I304="ja"</formula>
    </cfRule>
  </conditionalFormatting>
  <conditionalFormatting sqref="K304">
    <cfRule type="expression" dxfId="80" priority="170">
      <formula>I304="ja"</formula>
    </cfRule>
  </conditionalFormatting>
  <conditionalFormatting sqref="J270">
    <cfRule type="expression" dxfId="79" priority="169">
      <formula>I270="ja"</formula>
    </cfRule>
  </conditionalFormatting>
  <conditionalFormatting sqref="K270">
    <cfRule type="expression" dxfId="78" priority="168">
      <formula>I270="ja"</formula>
    </cfRule>
  </conditionalFormatting>
  <conditionalFormatting sqref="J272">
    <cfRule type="expression" dxfId="77" priority="167">
      <formula>I272="ja"</formula>
    </cfRule>
  </conditionalFormatting>
  <conditionalFormatting sqref="K272">
    <cfRule type="expression" dxfId="76" priority="166">
      <formula>I272="ja"</formula>
    </cfRule>
  </conditionalFormatting>
  <conditionalFormatting sqref="J274">
    <cfRule type="expression" dxfId="75" priority="165">
      <formula>I274="ja"</formula>
    </cfRule>
  </conditionalFormatting>
  <conditionalFormatting sqref="K274">
    <cfRule type="expression" dxfId="74" priority="164">
      <formula>I274="ja"</formula>
    </cfRule>
  </conditionalFormatting>
  <conditionalFormatting sqref="J278:J279">
    <cfRule type="expression" dxfId="73" priority="161">
      <formula>I278="ja"</formula>
    </cfRule>
  </conditionalFormatting>
  <conditionalFormatting sqref="K278:K279">
    <cfRule type="expression" dxfId="72" priority="160">
      <formula>I278="ja"</formula>
    </cfRule>
  </conditionalFormatting>
  <conditionalFormatting sqref="J280">
    <cfRule type="expression" dxfId="71" priority="159">
      <formula>I280="ja"</formula>
    </cfRule>
  </conditionalFormatting>
  <conditionalFormatting sqref="K280">
    <cfRule type="expression" dxfId="70" priority="158">
      <formula>I280="ja"</formula>
    </cfRule>
  </conditionalFormatting>
  <conditionalFormatting sqref="J282">
    <cfRule type="expression" dxfId="69" priority="157">
      <formula>I282="ja"</formula>
    </cfRule>
  </conditionalFormatting>
  <conditionalFormatting sqref="K282">
    <cfRule type="expression" dxfId="68" priority="156">
      <formula>I282="ja"</formula>
    </cfRule>
  </conditionalFormatting>
  <conditionalFormatting sqref="J306">
    <cfRule type="expression" dxfId="67" priority="154">
      <formula>I306="ja"</formula>
    </cfRule>
  </conditionalFormatting>
  <conditionalFormatting sqref="K306">
    <cfRule type="expression" dxfId="66" priority="153">
      <formula>I306="ja"</formula>
    </cfRule>
  </conditionalFormatting>
  <conditionalFormatting sqref="J310">
    <cfRule type="expression" dxfId="65" priority="147">
      <formula>I310="ja"</formula>
    </cfRule>
  </conditionalFormatting>
  <conditionalFormatting sqref="K310">
    <cfRule type="expression" dxfId="64" priority="146">
      <formula>I310="ja"</formula>
    </cfRule>
  </conditionalFormatting>
  <conditionalFormatting sqref="J312">
    <cfRule type="expression" dxfId="63" priority="145">
      <formula>I312="ja"</formula>
    </cfRule>
  </conditionalFormatting>
  <conditionalFormatting sqref="K312">
    <cfRule type="expression" dxfId="62" priority="144">
      <formula>I312="ja"</formula>
    </cfRule>
  </conditionalFormatting>
  <conditionalFormatting sqref="J314">
    <cfRule type="expression" dxfId="61" priority="142">
      <formula>I314="ja"</formula>
    </cfRule>
  </conditionalFormatting>
  <conditionalFormatting sqref="K314">
    <cfRule type="expression" dxfId="60" priority="141">
      <formula>I314="ja"</formula>
    </cfRule>
  </conditionalFormatting>
  <conditionalFormatting sqref="J316:J317">
    <cfRule type="expression" dxfId="59" priority="140">
      <formula>I316="ja"</formula>
    </cfRule>
  </conditionalFormatting>
  <conditionalFormatting sqref="K316:K317">
    <cfRule type="expression" dxfId="58" priority="139">
      <formula>I316="ja"</formula>
    </cfRule>
  </conditionalFormatting>
  <conditionalFormatting sqref="J330">
    <cfRule type="expression" dxfId="57" priority="137">
      <formula>I330="ja"</formula>
    </cfRule>
  </conditionalFormatting>
  <conditionalFormatting sqref="K330">
    <cfRule type="expression" dxfId="56" priority="136">
      <formula>I330="ja"</formula>
    </cfRule>
  </conditionalFormatting>
  <conditionalFormatting sqref="J320">
    <cfRule type="expression" dxfId="55" priority="131">
      <formula>I320="ja"</formula>
    </cfRule>
  </conditionalFormatting>
  <conditionalFormatting sqref="K320">
    <cfRule type="expression" dxfId="54" priority="130">
      <formula>I320="ja"</formula>
    </cfRule>
  </conditionalFormatting>
  <conditionalFormatting sqref="J322">
    <cfRule type="expression" dxfId="53" priority="126">
      <formula>I322="ja"</formula>
    </cfRule>
  </conditionalFormatting>
  <conditionalFormatting sqref="K322">
    <cfRule type="expression" dxfId="52" priority="125">
      <formula>I322="ja"</formula>
    </cfRule>
  </conditionalFormatting>
  <conditionalFormatting sqref="J326">
    <cfRule type="expression" dxfId="51" priority="121">
      <formula>I326="ja"</formula>
    </cfRule>
  </conditionalFormatting>
  <conditionalFormatting sqref="K326">
    <cfRule type="expression" dxfId="50" priority="120">
      <formula>I326="ja"</formula>
    </cfRule>
  </conditionalFormatting>
  <conditionalFormatting sqref="J328">
    <cfRule type="expression" dxfId="49" priority="119">
      <formula>I328="ja"</formula>
    </cfRule>
  </conditionalFormatting>
  <conditionalFormatting sqref="K328">
    <cfRule type="expression" dxfId="48" priority="118">
      <formula>I328="ja"</formula>
    </cfRule>
  </conditionalFormatting>
  <conditionalFormatting sqref="J262">
    <cfRule type="expression" dxfId="47" priority="116">
      <formula>I262="ja"</formula>
    </cfRule>
  </conditionalFormatting>
  <conditionalFormatting sqref="K262">
    <cfRule type="expression" dxfId="46" priority="115">
      <formula>I262="ja"</formula>
    </cfRule>
  </conditionalFormatting>
  <conditionalFormatting sqref="J264">
    <cfRule type="expression" dxfId="45" priority="113">
      <formula>I264="ja"</formula>
    </cfRule>
  </conditionalFormatting>
  <conditionalFormatting sqref="K264">
    <cfRule type="expression" dxfId="44" priority="112">
      <formula>I264="ja"</formula>
    </cfRule>
  </conditionalFormatting>
  <conditionalFormatting sqref="M345:M347">
    <cfRule type="expression" dxfId="43" priority="107">
      <formula>M345="JA"</formula>
    </cfRule>
  </conditionalFormatting>
  <conditionalFormatting sqref="J336:J337">
    <cfRule type="expression" dxfId="42" priority="94">
      <formula>I336="ja"</formula>
    </cfRule>
  </conditionalFormatting>
  <conditionalFormatting sqref="K336:K337">
    <cfRule type="expression" dxfId="41" priority="93">
      <formula>I336="ja"</formula>
    </cfRule>
  </conditionalFormatting>
  <conditionalFormatting sqref="J339:J340">
    <cfRule type="expression" dxfId="40" priority="92">
      <formula>I339="ja"</formula>
    </cfRule>
  </conditionalFormatting>
  <conditionalFormatting sqref="K339:K340">
    <cfRule type="expression" dxfId="39" priority="91">
      <formula>I339="ja"</formula>
    </cfRule>
  </conditionalFormatting>
  <conditionalFormatting sqref="J342:J343">
    <cfRule type="expression" dxfId="38" priority="90">
      <formula>I342="ja"</formula>
    </cfRule>
  </conditionalFormatting>
  <conditionalFormatting sqref="K342:K343">
    <cfRule type="expression" dxfId="37" priority="89">
      <formula>I342="ja"</formula>
    </cfRule>
  </conditionalFormatting>
  <conditionalFormatting sqref="J345:J347">
    <cfRule type="expression" dxfId="36" priority="88">
      <formula>I345="ja"</formula>
    </cfRule>
  </conditionalFormatting>
  <conditionalFormatting sqref="K345:K347">
    <cfRule type="expression" dxfId="35" priority="87">
      <formula>I345="ja"</formula>
    </cfRule>
  </conditionalFormatting>
  <conditionalFormatting sqref="J349">
    <cfRule type="expression" dxfId="34" priority="86">
      <formula>I349="ja"</formula>
    </cfRule>
  </conditionalFormatting>
  <conditionalFormatting sqref="K349">
    <cfRule type="expression" dxfId="33" priority="85">
      <formula>I349="ja"</formula>
    </cfRule>
  </conditionalFormatting>
  <conditionalFormatting sqref="M149">
    <cfRule type="expression" dxfId="32" priority="41">
      <formula>M149="JA"</formula>
    </cfRule>
  </conditionalFormatting>
  <conditionalFormatting sqref="M200:M201">
    <cfRule type="expression" dxfId="31" priority="37">
      <formula>M200="JA"</formula>
    </cfRule>
  </conditionalFormatting>
  <conditionalFormatting sqref="M207:M208">
    <cfRule type="expression" dxfId="30" priority="34">
      <formula>M207="JA"</formula>
    </cfRule>
  </conditionalFormatting>
  <conditionalFormatting sqref="M220:M221">
    <cfRule type="expression" dxfId="29" priority="32">
      <formula>M220="JA"</formula>
    </cfRule>
  </conditionalFormatting>
  <conditionalFormatting sqref="M246:M247">
    <cfRule type="expression" dxfId="28" priority="29">
      <formula>M246="JA"</formula>
    </cfRule>
  </conditionalFormatting>
  <conditionalFormatting sqref="M292:M293">
    <cfRule type="expression" dxfId="27" priority="21">
      <formula>M292="JA"</formula>
    </cfRule>
  </conditionalFormatting>
  <conditionalFormatting sqref="M336:M337">
    <cfRule type="expression" dxfId="26" priority="20">
      <formula>M336="JA"</formula>
    </cfRule>
  </conditionalFormatting>
  <conditionalFormatting sqref="M339:M340">
    <cfRule type="expression" dxfId="25" priority="19">
      <formula>M339="JA"</formula>
    </cfRule>
  </conditionalFormatting>
  <conditionalFormatting sqref="M342:M343">
    <cfRule type="expression" dxfId="24" priority="18">
      <formula>M342="JA"</formula>
    </cfRule>
  </conditionalFormatting>
  <conditionalFormatting sqref="M74 M76 M78 M80 M82 M84 M86 M88 M90 M92 M94 M96 M98 M100 M102 M104 M106 M108 M110 M112 M114">
    <cfRule type="expression" dxfId="23" priority="16">
      <formula>M74="JA"</formula>
    </cfRule>
  </conditionalFormatting>
  <conditionalFormatting sqref="M137 M139 M141 M143">
    <cfRule type="expression" dxfId="22" priority="15">
      <formula>M137="JA"</formula>
    </cfRule>
  </conditionalFormatting>
  <conditionalFormatting sqref="M152 M154 M156 M158 M160 M162">
    <cfRule type="expression" dxfId="21" priority="14">
      <formula>M152="JA"</formula>
    </cfRule>
  </conditionalFormatting>
  <conditionalFormatting sqref="M172 M174 M176 M178 M180">
    <cfRule type="expression" dxfId="20" priority="13">
      <formula>M172="JA"</formula>
    </cfRule>
  </conditionalFormatting>
  <conditionalFormatting sqref="M189 M191 M193">
    <cfRule type="expression" dxfId="19" priority="12">
      <formula>M189="JA"</formula>
    </cfRule>
  </conditionalFormatting>
  <conditionalFormatting sqref="M203">
    <cfRule type="expression" dxfId="18" priority="11">
      <formula>M203="JA"</formula>
    </cfRule>
  </conditionalFormatting>
  <conditionalFormatting sqref="M205">
    <cfRule type="expression" dxfId="17" priority="10">
      <formula>M205="JA"</formula>
    </cfRule>
  </conditionalFormatting>
  <conditionalFormatting sqref="M210 M212 M214 M216 M218">
    <cfRule type="expression" dxfId="16" priority="9">
      <formula>M210="JA"</formula>
    </cfRule>
  </conditionalFormatting>
  <conditionalFormatting sqref="M223 M225 M227 M229 M231">
    <cfRule type="expression" dxfId="15" priority="8">
      <formula>M223="JA"</formula>
    </cfRule>
  </conditionalFormatting>
  <conditionalFormatting sqref="M240 M242 M244">
    <cfRule type="expression" dxfId="14" priority="7">
      <formula>M240="JA"</formula>
    </cfRule>
  </conditionalFormatting>
  <conditionalFormatting sqref="M253">
    <cfRule type="expression" dxfId="13" priority="6">
      <formula>M253="JA"</formula>
    </cfRule>
  </conditionalFormatting>
  <conditionalFormatting sqref="M255">
    <cfRule type="expression" dxfId="12" priority="5">
      <formula>M255="JA"</formula>
    </cfRule>
  </conditionalFormatting>
  <conditionalFormatting sqref="M262 M264 M266 M268 M270 M272 M274 M276 M278 M280 M282 M284 M286 M288 M290">
    <cfRule type="expression" dxfId="11" priority="4">
      <formula>M262="JA"</formula>
    </cfRule>
  </conditionalFormatting>
  <conditionalFormatting sqref="M295">
    <cfRule type="expression" dxfId="10" priority="3">
      <formula>M295="JA"</formula>
    </cfRule>
  </conditionalFormatting>
  <conditionalFormatting sqref="M300 M302 M304 M306 M308 M310 M312 M314 M316 M318 M320 M322 M324 M326 M328 M330">
    <cfRule type="expression" dxfId="9" priority="2">
      <formula>M300="JA"</formula>
    </cfRule>
  </conditionalFormatting>
  <conditionalFormatting sqref="M349">
    <cfRule type="expression" dxfId="8" priority="1">
      <formula>M349="JA"</formula>
    </cfRule>
  </conditionalFormatting>
  <dataValidations count="3">
    <dataValidation type="list" allowBlank="1" showInputMessage="1" showErrorMessage="1" sqref="I116" xr:uid="{8CFD1084-04FB-4866-8110-FA59E0DEF82F}">
      <formula1>$Y$4:$Y$4</formula1>
    </dataValidation>
    <dataValidation type="list" allowBlank="1" showInputMessage="1" showErrorMessage="1" sqref="L5:L7 L71:L73 L117:L119 L134:L136 L146:L148 L183:L185 L333:L335" xr:uid="{18D9F842-E65A-4457-9F0E-394172633899}">
      <formula1>$T$1:$T$2</formula1>
    </dataValidation>
    <dataValidation type="list" allowBlank="1" showInputMessage="1" showErrorMessage="1" sqref="I8:I69 I74:I115 I137:I144 I168:I181 I120:I132 I149:I163 I186:I331 I336:I344 I349:I350 I345:I348" xr:uid="{69AEE670-5FF3-4E9D-8AD3-EC95FEDD5310}">
      <formula1>$O$1:$O$2</formula1>
    </dataValidation>
  </dataValidations>
  <pageMargins left="0.25" right="0.25" top="0.75" bottom="0.63446969696969702" header="0.3" footer="0.3"/>
  <pageSetup paperSize="9" scale="50" fitToHeight="0" orientation="portrait" r:id="rId1"/>
  <headerFooter>
    <oddFooter>&amp;LVersions-Nr.: 29.08.2016&amp;CDruckdatum: &amp;D&amp;RSeite &amp;P von &amp;N</oddFooter>
  </headerFooter>
  <rowBreaks count="3" manualBreakCount="3">
    <brk id="105" max="16383" man="1"/>
    <brk id="211" max="16383" man="1"/>
    <brk id="317" max="16383" man="1"/>
  </rowBreaks>
  <ignoredErrors>
    <ignoredError sqref="L9:L10 L8 L11:L44 L120 L114:L115 L141:L142 L46 L74:L103 L121:L122 L143:L144 L162:L163 L129:L132 L149:L155" unlockedFormula="1"/>
    <ignoredError sqref="Z162:AA164 Z133:AA136 Z141:AA155"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43E07DE-1586-4806-B9F9-262005F759D7}">
          <x14:formula1>
            <xm:f>'Berechnung - Hochbau'!$B$131:$B$138</xm:f>
          </x14:formula1>
          <xm:sqref>N133 N116 N145 N70 N164</xm:sqref>
        </x14:dataValidation>
        <x14:dataValidation type="list" allowBlank="1" showInputMessage="1" showErrorMessage="1" xr:uid="{32DB7DB9-6E0E-4EB1-9468-B9C0C8AA7095}">
          <x14:formula1>
            <xm:f>'Berechnung - Hochbau'!$B$131:$B$139</xm:f>
          </x14:formula1>
          <xm:sqref>O116</xm:sqref>
        </x14:dataValidation>
        <x14:dataValidation type="list" allowBlank="1" showInputMessage="1" showErrorMessage="1" xr:uid="{A8737DEA-3849-4BBC-95B8-3D3DAF8E6227}">
          <x14:formula1>
            <xm:f>'Berechnung - Hochbau'!$B$131:$B$140</xm:f>
          </x14:formula1>
          <xm:sqref>N8:N69 N74:N115 N120:N132 N137:N144 N149:N163 N168:N181 N186:N331 N336:N350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37DA-E28A-4BC4-BC8A-5BBBCF074E50}">
  <sheetPr>
    <tabColor rgb="FF00B0F0"/>
  </sheetPr>
  <dimension ref="A1:XFD594"/>
  <sheetViews>
    <sheetView workbookViewId="0"/>
  </sheetViews>
  <sheetFormatPr baseColWidth="10" defaultColWidth="11.44140625" defaultRowHeight="13.9" x14ac:dyDescent="0.25"/>
  <cols>
    <col min="1" max="1" width="10.33203125" style="1" customWidth="1"/>
    <col min="2" max="2" width="6.88671875" style="1" bestFit="1" customWidth="1"/>
    <col min="3" max="3" width="19.88671875" style="1" customWidth="1"/>
    <col min="4" max="5" width="15.6640625" style="1" customWidth="1"/>
    <col min="6" max="6" width="11.44140625" style="1" customWidth="1"/>
    <col min="7" max="7" width="17" style="1" customWidth="1"/>
    <col min="8" max="8" width="15.6640625" style="1" customWidth="1"/>
    <col min="9" max="9" width="11.44140625" style="1" customWidth="1"/>
    <col min="10" max="11" width="15.6640625" style="1" customWidth="1"/>
    <col min="12" max="12" width="10.5546875" style="1" bestFit="1" customWidth="1"/>
    <col min="13" max="14" width="15.6640625" style="1" customWidth="1"/>
    <col min="15" max="15" width="10.5546875" style="1" bestFit="1" customWidth="1"/>
    <col min="16" max="16" width="10.5546875" style="1" customWidth="1"/>
    <col min="17" max="17" width="12.109375" style="1" customWidth="1"/>
    <col min="18" max="19" width="10.5546875" style="1" customWidth="1"/>
    <col min="20" max="21" width="15.6640625" style="1" customWidth="1"/>
    <col min="22" max="22" width="16.44140625" style="1" bestFit="1" customWidth="1"/>
    <col min="23" max="24" width="15.6640625" style="1" customWidth="1"/>
    <col min="25" max="25" width="16.44140625" style="1" bestFit="1" customWidth="1"/>
    <col min="26" max="26" width="19.6640625" style="1" customWidth="1"/>
    <col min="27" max="16384" width="11.44140625" style="1"/>
  </cols>
  <sheetData>
    <row r="1" spans="2:26" ht="15" customHeight="1" x14ac:dyDescent="0.25">
      <c r="B1" s="1669" t="s">
        <v>632</v>
      </c>
      <c r="C1" s="1670"/>
      <c r="E1" s="1669" t="s">
        <v>633</v>
      </c>
      <c r="F1" s="1670"/>
      <c r="H1" s="1669" t="s">
        <v>634</v>
      </c>
      <c r="I1" s="1670"/>
      <c r="K1" s="1669" t="s">
        <v>635</v>
      </c>
      <c r="L1" s="1670"/>
      <c r="N1" s="1669" t="s">
        <v>635</v>
      </c>
      <c r="O1" s="1670"/>
      <c r="P1" s="300"/>
      <c r="Q1" s="1650" t="s">
        <v>636</v>
      </c>
      <c r="R1" s="1651"/>
      <c r="S1" s="300"/>
      <c r="T1" s="1650" t="s">
        <v>637</v>
      </c>
      <c r="U1" s="1651"/>
      <c r="W1" s="1650" t="s">
        <v>638</v>
      </c>
      <c r="X1" s="1651"/>
    </row>
    <row r="2" spans="2:26" ht="15" customHeight="1" x14ac:dyDescent="0.25">
      <c r="B2" s="1671"/>
      <c r="C2" s="1672"/>
      <c r="E2" s="1671"/>
      <c r="F2" s="1672"/>
      <c r="H2" s="1671"/>
      <c r="I2" s="1672"/>
      <c r="K2" s="1671"/>
      <c r="L2" s="1672"/>
      <c r="N2" s="1671"/>
      <c r="O2" s="1672"/>
      <c r="P2" s="300"/>
      <c r="Q2" s="1652"/>
      <c r="R2" s="1653"/>
      <c r="S2" s="300"/>
      <c r="T2" s="1652"/>
      <c r="U2" s="1653"/>
      <c r="W2" s="1652"/>
      <c r="X2" s="1653"/>
    </row>
    <row r="3" spans="2:26" ht="15" customHeight="1" x14ac:dyDescent="0.25">
      <c r="B3" s="1671"/>
      <c r="C3" s="1672"/>
      <c r="E3" s="1671"/>
      <c r="F3" s="1672"/>
      <c r="H3" s="1671"/>
      <c r="I3" s="1672"/>
      <c r="K3" s="1671"/>
      <c r="L3" s="1672"/>
      <c r="M3" s="70"/>
      <c r="N3" s="1671"/>
      <c r="O3" s="1672"/>
      <c r="P3" s="300"/>
      <c r="Q3" s="1652"/>
      <c r="R3" s="1653"/>
      <c r="S3" s="300"/>
      <c r="T3" s="1652"/>
      <c r="U3" s="1653"/>
      <c r="W3" s="1652"/>
      <c r="X3" s="1653"/>
    </row>
    <row r="4" spans="2:26" ht="15" customHeight="1" x14ac:dyDescent="0.25">
      <c r="B4" s="1671"/>
      <c r="C4" s="1672"/>
      <c r="E4" s="1671"/>
      <c r="F4" s="1672"/>
      <c r="H4" s="1671"/>
      <c r="I4" s="1672"/>
      <c r="K4" s="1671"/>
      <c r="L4" s="1672"/>
      <c r="M4" s="70"/>
      <c r="N4" s="1671"/>
      <c r="O4" s="1672"/>
      <c r="P4" s="300"/>
      <c r="Q4" s="1652"/>
      <c r="R4" s="1653"/>
      <c r="S4" s="300"/>
      <c r="T4" s="1652"/>
      <c r="U4" s="1653"/>
      <c r="W4" s="1652"/>
      <c r="X4" s="1653"/>
    </row>
    <row r="5" spans="2:26" ht="15.95" customHeight="1" x14ac:dyDescent="0.25">
      <c r="B5" s="1671"/>
      <c r="C5" s="1672"/>
      <c r="E5" s="1671"/>
      <c r="F5" s="1672"/>
      <c r="H5" s="1671"/>
      <c r="I5" s="1672"/>
      <c r="K5" s="1671"/>
      <c r="L5" s="1672"/>
      <c r="M5" s="48"/>
      <c r="N5" s="1671"/>
      <c r="O5" s="1672"/>
      <c r="P5" s="300"/>
      <c r="Q5" s="1652"/>
      <c r="R5" s="1653"/>
      <c r="S5" s="300"/>
      <c r="T5" s="1652"/>
      <c r="U5" s="1653"/>
      <c r="W5" s="1652"/>
      <c r="X5" s="1653"/>
      <c r="Y5" s="2"/>
      <c r="Z5" s="2"/>
    </row>
    <row r="6" spans="2:26" ht="15.2" thickBot="1" x14ac:dyDescent="0.35">
      <c r="B6" s="1675" t="s">
        <v>366</v>
      </c>
      <c r="C6" s="1676"/>
      <c r="E6" s="1675" t="s">
        <v>366</v>
      </c>
      <c r="F6" s="1676"/>
      <c r="H6" s="1654" t="s">
        <v>366</v>
      </c>
      <c r="I6" s="1655"/>
      <c r="K6" s="1654" t="s">
        <v>366</v>
      </c>
      <c r="L6" s="1655"/>
      <c r="M6" s="48"/>
      <c r="N6" s="1654" t="s">
        <v>366</v>
      </c>
      <c r="O6" s="1655"/>
      <c r="P6" s="48"/>
      <c r="Q6" s="1654" t="s">
        <v>366</v>
      </c>
      <c r="R6" s="1655"/>
      <c r="S6" s="48"/>
      <c r="T6" s="1654" t="s">
        <v>366</v>
      </c>
      <c r="U6" s="1655"/>
      <c r="W6" s="1654" t="s">
        <v>366</v>
      </c>
      <c r="X6" s="1655"/>
      <c r="Y6"/>
      <c r="Z6"/>
    </row>
    <row r="7" spans="2:26" ht="14.55" x14ac:dyDescent="0.3">
      <c r="B7" s="1658">
        <f>IF('weitere Besondere Leistungen'!M8="ja",'weitere Besondere Leistungen'!L8,0)</f>
        <v>0</v>
      </c>
      <c r="C7" s="1659"/>
      <c r="E7" s="1662">
        <f>IF('weitere Besondere Leistungen'!M74="ja",'weitere Besondere Leistungen'!L74,0)</f>
        <v>0</v>
      </c>
      <c r="F7" s="1663"/>
      <c r="H7" s="1673">
        <f>IF('weitere Besondere Leistungen'!M120="ja",'weitere Besondere Leistungen'!L120,0)</f>
        <v>0</v>
      </c>
      <c r="I7" s="1674"/>
      <c r="J7" s="170"/>
      <c r="K7" s="1673">
        <f>IF('weitere Besondere Leistungen'!M137="ja",'weitere Besondere Leistungen'!L137,0)</f>
        <v>0</v>
      </c>
      <c r="L7" s="1674"/>
      <c r="M7" s="171"/>
      <c r="N7" s="1673">
        <f>IF('weitere Besondere Leistungen'!M149="ja",'weitere Besondere Leistungen'!L149,0)</f>
        <v>0</v>
      </c>
      <c r="O7" s="1674"/>
      <c r="P7" s="171"/>
      <c r="Q7" s="1673">
        <f>IF('weitere Besondere Leistungen'!M168="ja",'weitere Besondere Leistungen'!L168,0)</f>
        <v>0</v>
      </c>
      <c r="R7" s="1674"/>
      <c r="S7" s="171"/>
      <c r="T7" s="1656">
        <f>IF('weitere Besondere Leistungen'!M186="ja",'weitere Besondere Leistungen'!L186,0)</f>
        <v>0</v>
      </c>
      <c r="U7" s="1657"/>
      <c r="W7" s="1682">
        <f>IF('weitere Besondere Leistungen'!M336="ja",'weitere Besondere Leistungen'!L336,0)</f>
        <v>0</v>
      </c>
      <c r="X7" s="1683"/>
      <c r="Y7" s="3"/>
      <c r="Z7" s="5"/>
    </row>
    <row r="8" spans="2:26" ht="14.55" x14ac:dyDescent="0.3">
      <c r="B8" s="1658">
        <f>IF('weitere Besondere Leistungen'!M10="ja",'weitere Besondere Leistungen'!L10,0)</f>
        <v>0</v>
      </c>
      <c r="C8" s="1659"/>
      <c r="E8" s="1662">
        <f>IF('weitere Besondere Leistungen'!M76="ja",'weitere Besondere Leistungen'!L76,0)</f>
        <v>0</v>
      </c>
      <c r="F8" s="1663"/>
      <c r="H8" s="1658">
        <f>IF('weitere Besondere Leistungen'!M123="ja",'weitere Besondere Leistungen'!L123,0)</f>
        <v>0</v>
      </c>
      <c r="I8" s="1659"/>
      <c r="J8" s="170"/>
      <c r="K8" s="1658">
        <f>IF('weitere Besondere Leistungen'!M139="ja",'weitere Besondere Leistungen'!L139,0)</f>
        <v>0</v>
      </c>
      <c r="L8" s="1659"/>
      <c r="M8" s="171"/>
      <c r="N8" s="1658">
        <f>IF('weitere Besondere Leistungen'!M152="ja",'weitere Besondere Leistungen'!L152,0)</f>
        <v>0</v>
      </c>
      <c r="O8" s="1659"/>
      <c r="P8" s="171"/>
      <c r="Q8" s="1658">
        <f>IF('weitere Besondere Leistungen'!M172="ja",'weitere Besondere Leistungen'!L172,0)</f>
        <v>0</v>
      </c>
      <c r="R8" s="1659"/>
      <c r="S8" s="171"/>
      <c r="T8" s="1644">
        <f>IF('weitere Besondere Leistungen'!M189="ja",'weitere Besondere Leistungen'!L189,0)</f>
        <v>0</v>
      </c>
      <c r="U8" s="1645"/>
      <c r="W8" s="1644">
        <f>IF('weitere Besondere Leistungen'!M339="ja",'weitere Besondere Leistungen'!L339,0)</f>
        <v>0</v>
      </c>
      <c r="X8" s="1645"/>
      <c r="Y8" s="3"/>
      <c r="Z8" s="5"/>
    </row>
    <row r="9" spans="2:26" ht="14.55" x14ac:dyDescent="0.3">
      <c r="B9" s="1658">
        <f>IF('weitere Besondere Leistungen'!M12="ja",'weitere Besondere Leistungen'!L12,0)</f>
        <v>0</v>
      </c>
      <c r="C9" s="1659"/>
      <c r="E9" s="1662">
        <f>IF('weitere Besondere Leistungen'!M78="ja",'weitere Besondere Leistungen'!L78,0)</f>
        <v>0</v>
      </c>
      <c r="F9" s="1663"/>
      <c r="H9" s="1658">
        <f>IF('weitere Besondere Leistungen'!M125="ja",'weitere Besondere Leistungen'!L125,0)</f>
        <v>0</v>
      </c>
      <c r="I9" s="1659"/>
      <c r="J9" s="170"/>
      <c r="K9" s="1658">
        <f>IF('weitere Besondere Leistungen'!M141="ja",'weitere Besondere Leistungen'!L141,0)</f>
        <v>0</v>
      </c>
      <c r="L9" s="1659"/>
      <c r="M9" s="171"/>
      <c r="N9" s="1658">
        <f>IF('weitere Besondere Leistungen'!M154="ja",'weitere Besondere Leistungen'!L154,0)</f>
        <v>0</v>
      </c>
      <c r="O9" s="1659"/>
      <c r="P9" s="171"/>
      <c r="Q9" s="1658">
        <f>IF('weitere Besondere Leistungen'!M174="ja",'weitere Besondere Leistungen'!L174,0)</f>
        <v>0</v>
      </c>
      <c r="R9" s="1659"/>
      <c r="S9" s="171"/>
      <c r="T9" s="1644">
        <f>IF('weitere Besondere Leistungen'!M191="ja",'weitere Besondere Leistungen'!L191,0)</f>
        <v>0</v>
      </c>
      <c r="U9" s="1645"/>
      <c r="W9" s="1644">
        <f>IF('weitere Besondere Leistungen'!M342="ja",'weitere Besondere Leistungen'!L342,0)</f>
        <v>0</v>
      </c>
      <c r="X9" s="1645"/>
      <c r="Y9" s="3"/>
      <c r="Z9" s="5"/>
    </row>
    <row r="10" spans="2:26" ht="15.2" thickBot="1" x14ac:dyDescent="0.35">
      <c r="B10" s="1658">
        <f>IF('weitere Besondere Leistungen'!M14="ja",'weitere Besondere Leistungen'!L14,0)</f>
        <v>0</v>
      </c>
      <c r="C10" s="1659"/>
      <c r="E10" s="1662">
        <f>IF('weitere Besondere Leistungen'!M80="ja",'weitere Besondere Leistungen'!L80,0)</f>
        <v>0</v>
      </c>
      <c r="F10" s="1663"/>
      <c r="H10" s="1658">
        <f>IF('weitere Besondere Leistungen'!M127="ja",'weitere Besondere Leistungen'!L127,0)</f>
        <v>0</v>
      </c>
      <c r="I10" s="1659"/>
      <c r="J10" s="170"/>
      <c r="K10" s="1660">
        <f>IF('weitere Besondere Leistungen'!M143="ja",'weitere Besondere Leistungen'!L143,0)</f>
        <v>0</v>
      </c>
      <c r="L10" s="1661"/>
      <c r="M10" s="171"/>
      <c r="N10" s="1658">
        <f>IF('weitere Besondere Leistungen'!M156="ja",'weitere Besondere Leistungen'!L156,0)</f>
        <v>0</v>
      </c>
      <c r="O10" s="1659"/>
      <c r="P10" s="171"/>
      <c r="Q10" s="1658">
        <f>IF('weitere Besondere Leistungen'!M176="ja",'weitere Besondere Leistungen'!L176,0)</f>
        <v>0</v>
      </c>
      <c r="R10" s="1659"/>
      <c r="S10" s="171"/>
      <c r="T10" s="1644">
        <f>IF('weitere Besondere Leistungen'!M193="ja",'weitere Besondere Leistungen'!L193,0)</f>
        <v>0</v>
      </c>
      <c r="U10" s="1645"/>
      <c r="W10" s="1644">
        <f>IF('weitere Besondere Leistungen'!M345="ja",'weitere Besondere Leistungen'!L345,0)</f>
        <v>0</v>
      </c>
      <c r="X10" s="1645"/>
      <c r="Y10" s="3"/>
      <c r="Z10" s="5"/>
    </row>
    <row r="11" spans="2:26" ht="14.55" x14ac:dyDescent="0.3">
      <c r="B11" s="1658">
        <f>IF('weitere Besondere Leistungen'!M16="ja",'weitere Besondere Leistungen'!L16,0)</f>
        <v>0</v>
      </c>
      <c r="C11" s="1659"/>
      <c r="E11" s="1662">
        <f>IF('weitere Besondere Leistungen'!M82="ja",'weitere Besondere Leistungen'!L82,0)</f>
        <v>0</v>
      </c>
      <c r="F11" s="1663"/>
      <c r="H11" s="1658">
        <f>IF('weitere Besondere Leistungen'!M129="ja",'weitere Besondere Leistungen'!L129,0)</f>
        <v>0</v>
      </c>
      <c r="I11" s="1659"/>
      <c r="L11" s="48"/>
      <c r="M11" s="48"/>
      <c r="N11" s="1658">
        <f>IF('weitere Besondere Leistungen'!M158="ja",'weitere Besondere Leistungen'!L158,0)</f>
        <v>0</v>
      </c>
      <c r="O11" s="1659"/>
      <c r="Q11" s="1658">
        <f>IF('weitere Besondere Leistungen'!M178="ja",'weitere Besondere Leistungen'!L178,0)</f>
        <v>0</v>
      </c>
      <c r="R11" s="1659"/>
      <c r="S11" s="171"/>
      <c r="T11" s="1644">
        <f>IF('weitere Besondere Leistungen'!M195="ja",'weitere Besondere Leistungen'!L195,0)</f>
        <v>0</v>
      </c>
      <c r="U11" s="1645"/>
      <c r="W11" s="1644">
        <f>IF('weitere Besondere Leistungen'!M349="ja",'weitere Besondere Leistungen'!L349,0)</f>
        <v>0</v>
      </c>
      <c r="X11" s="1645"/>
      <c r="Y11" s="3"/>
      <c r="Z11" s="5"/>
    </row>
    <row r="12" spans="2:26" ht="15.2" thickBot="1" x14ac:dyDescent="0.35">
      <c r="B12" s="1658">
        <f>IF('weitere Besondere Leistungen'!M18="ja",'weitere Besondere Leistungen'!L18,0)</f>
        <v>0</v>
      </c>
      <c r="C12" s="1659"/>
      <c r="E12" s="1662">
        <f>IF('weitere Besondere Leistungen'!M84="ja",'weitere Besondere Leistungen'!L84,0)</f>
        <v>0</v>
      </c>
      <c r="F12" s="1663"/>
      <c r="H12" s="1660">
        <f>IF('weitere Besondere Leistungen'!M131="ja",'weitere Besondere Leistungen'!L131,0)</f>
        <v>0</v>
      </c>
      <c r="I12" s="1661"/>
      <c r="L12" s="48"/>
      <c r="M12" s="48"/>
      <c r="N12" s="1658">
        <f>IF('weitere Besondere Leistungen'!M160="ja",'weitere Besondere Leistungen'!L160,0)</f>
        <v>0</v>
      </c>
      <c r="O12" s="1659"/>
      <c r="Q12" s="1660">
        <f>IF('weitere Besondere Leistungen'!M180="ja",'weitere Besondere Leistungen'!L180,0)</f>
        <v>0</v>
      </c>
      <c r="R12" s="1661"/>
      <c r="S12" s="171"/>
      <c r="T12" s="1644">
        <f>IF('weitere Besondere Leistungen'!M200="ja",'weitere Besondere Leistungen'!L200,0)</f>
        <v>0</v>
      </c>
      <c r="U12" s="1645"/>
      <c r="W12" s="1646">
        <f>IF('weitere Besondere Leistungen'!M341="ja",'weitere Besondere Leistungen'!L341,0)</f>
        <v>0</v>
      </c>
      <c r="X12" s="1647"/>
      <c r="Y12" s="3"/>
      <c r="Z12" s="5"/>
    </row>
    <row r="13" spans="2:26" ht="15.2" thickBot="1" x14ac:dyDescent="0.35">
      <c r="B13" s="1658">
        <f>IF('weitere Besondere Leistungen'!M20="ja",'weitere Besondere Leistungen'!L20,0)</f>
        <v>0</v>
      </c>
      <c r="C13" s="1659"/>
      <c r="E13" s="1662">
        <f>IF('weitere Besondere Leistungen'!M86="ja",'weitere Besondere Leistungen'!L86,0)</f>
        <v>0</v>
      </c>
      <c r="F13" s="1663"/>
      <c r="H13" s="1664"/>
      <c r="I13" s="1664"/>
      <c r="L13" s="48"/>
      <c r="M13" s="48"/>
      <c r="N13" s="1660">
        <f>IF('weitere Besondere Leistungen'!M162="ja",'weitere Besondere Leistungen'!L162,0)</f>
        <v>0</v>
      </c>
      <c r="O13" s="1661"/>
      <c r="S13" s="171"/>
      <c r="T13" s="1644">
        <f>IF('weitere Besondere Leistungen'!M203="ja",'weitere Besondere Leistungen'!L203,0)</f>
        <v>0</v>
      </c>
      <c r="U13" s="1645"/>
      <c r="X13" s="4"/>
      <c r="Y13" s="3"/>
      <c r="Z13" s="5"/>
    </row>
    <row r="14" spans="2:26" ht="14.55" x14ac:dyDescent="0.3">
      <c r="B14" s="1658">
        <f>IF('weitere Besondere Leistungen'!M22="ja",'weitere Besondere Leistungen'!L22,0)</f>
        <v>0</v>
      </c>
      <c r="C14" s="1659"/>
      <c r="E14" s="1662">
        <f>IF('weitere Besondere Leistungen'!M88="ja",'weitere Besondere Leistungen'!L88,0)</f>
        <v>0</v>
      </c>
      <c r="F14" s="1663"/>
      <c r="L14" s="48"/>
      <c r="M14" s="48"/>
      <c r="S14" s="171"/>
      <c r="T14" s="1644">
        <f>IF('weitere Besondere Leistungen'!M205="ja",'weitere Besondere Leistungen'!L205,0)</f>
        <v>0</v>
      </c>
      <c r="U14" s="1645"/>
      <c r="X14" s="4"/>
      <c r="Y14" s="3"/>
      <c r="Z14" s="5"/>
    </row>
    <row r="15" spans="2:26" ht="14.55" x14ac:dyDescent="0.3">
      <c r="B15" s="1658">
        <f>IF('weitere Besondere Leistungen'!M24="ja",'weitere Besondere Leistungen'!L24,0)</f>
        <v>0</v>
      </c>
      <c r="C15" s="1659"/>
      <c r="E15" s="1662">
        <f>IF('weitere Besondere Leistungen'!M90="ja",'weitere Besondere Leistungen'!L90,0)</f>
        <v>0</v>
      </c>
      <c r="F15" s="1663"/>
      <c r="L15" s="48"/>
      <c r="M15" s="48"/>
      <c r="S15" s="171"/>
      <c r="T15" s="1644">
        <f>IF('weitere Besondere Leistungen'!M207="ja",'weitere Besondere Leistungen'!L207,0)</f>
        <v>0</v>
      </c>
      <c r="U15" s="1645"/>
      <c r="X15" s="4"/>
      <c r="Y15" s="3"/>
      <c r="Z15" s="5"/>
    </row>
    <row r="16" spans="2:26" ht="14.55" x14ac:dyDescent="0.3">
      <c r="B16" s="1658">
        <f>IF('weitere Besondere Leistungen'!M26="ja",'weitere Besondere Leistungen'!L26,0)</f>
        <v>0</v>
      </c>
      <c r="C16" s="1659"/>
      <c r="E16" s="1662">
        <f>IF('weitere Besondere Leistungen'!M92="ja",'weitere Besondere Leistungen'!L92,0)</f>
        <v>0</v>
      </c>
      <c r="F16" s="1663"/>
      <c r="L16" s="48"/>
      <c r="M16" s="48"/>
      <c r="S16" s="171"/>
      <c r="T16" s="1644">
        <f>IF('weitere Besondere Leistungen'!M210="ja",'weitere Besondere Leistungen'!L210,0)</f>
        <v>0</v>
      </c>
      <c r="U16" s="1645"/>
      <c r="X16" s="4"/>
      <c r="Y16" s="3"/>
      <c r="Z16" s="5"/>
    </row>
    <row r="17" spans="2:26" ht="14.55" x14ac:dyDescent="0.3">
      <c r="B17" s="1658">
        <f>IF('weitere Besondere Leistungen'!M28="ja",'weitere Besondere Leistungen'!L28,0)</f>
        <v>0</v>
      </c>
      <c r="C17" s="1659"/>
      <c r="E17" s="1662">
        <f>IF('weitere Besondere Leistungen'!M94="ja",'weitere Besondere Leistungen'!L94,0)</f>
        <v>0</v>
      </c>
      <c r="F17" s="1663"/>
      <c r="L17" s="48"/>
      <c r="M17" s="48"/>
      <c r="S17" s="171"/>
      <c r="T17" s="1644">
        <f>IF('weitere Besondere Leistungen'!M212="ja",'weitere Besondere Leistungen'!L212,0)</f>
        <v>0</v>
      </c>
      <c r="U17" s="1645"/>
      <c r="X17" s="4"/>
      <c r="Y17" s="3"/>
      <c r="Z17" s="5"/>
    </row>
    <row r="18" spans="2:26" ht="14.55" x14ac:dyDescent="0.3">
      <c r="B18" s="1658">
        <f>IF('weitere Besondere Leistungen'!M30="ja",'weitere Besondere Leistungen'!L30,0)</f>
        <v>0</v>
      </c>
      <c r="C18" s="1659"/>
      <c r="E18" s="1662">
        <f>IF('weitere Besondere Leistungen'!M96="ja",'weitere Besondere Leistungen'!L96,0)</f>
        <v>0</v>
      </c>
      <c r="F18" s="1663"/>
      <c r="L18" s="48"/>
      <c r="M18" s="48"/>
      <c r="S18" s="171"/>
      <c r="T18" s="1644">
        <f>IF('weitere Besondere Leistungen'!M214="ja",'weitere Besondere Leistungen'!L214,0)</f>
        <v>0</v>
      </c>
      <c r="U18" s="1645"/>
      <c r="X18" s="4"/>
      <c r="Y18" s="3"/>
      <c r="Z18" s="5"/>
    </row>
    <row r="19" spans="2:26" ht="14.55" x14ac:dyDescent="0.3">
      <c r="B19" s="1658">
        <f>IF('weitere Besondere Leistungen'!M32="ja",'weitere Besondere Leistungen'!L32,0)</f>
        <v>0</v>
      </c>
      <c r="C19" s="1659"/>
      <c r="D19" s="145"/>
      <c r="E19" s="1662">
        <f>IF('weitere Besondere Leistungen'!M98="ja",'weitere Besondere Leistungen'!L98,0)</f>
        <v>0</v>
      </c>
      <c r="F19" s="1663"/>
      <c r="G19" s="144"/>
      <c r="H19" s="49"/>
      <c r="I19" s="49"/>
      <c r="J19" s="49"/>
      <c r="K19" s="49"/>
      <c r="L19" s="49"/>
      <c r="M19" s="49"/>
      <c r="S19" s="171"/>
      <c r="T19" s="1644">
        <f>IF('weitere Besondere Leistungen'!M216="ja",'weitere Besondere Leistungen'!L216,0)</f>
        <v>0</v>
      </c>
      <c r="U19" s="1645"/>
      <c r="X19" s="4"/>
      <c r="Y19" s="3"/>
      <c r="Z19" s="5"/>
    </row>
    <row r="20" spans="2:26" ht="14.55" x14ac:dyDescent="0.3">
      <c r="B20" s="1658">
        <f>IF('weitere Besondere Leistungen'!M34="ja",'weitere Besondere Leistungen'!L34,0)</f>
        <v>0</v>
      </c>
      <c r="C20" s="1659"/>
      <c r="D20" s="145"/>
      <c r="E20" s="1662">
        <f>IF('weitere Besondere Leistungen'!M100="ja",'weitere Besondere Leistungen'!L100,0)</f>
        <v>0</v>
      </c>
      <c r="F20" s="1663"/>
      <c r="G20" s="144"/>
      <c r="H20" s="49"/>
      <c r="I20" s="49"/>
      <c r="J20" s="49"/>
      <c r="K20" s="49"/>
      <c r="L20" s="49"/>
      <c r="M20" s="49"/>
      <c r="S20" s="171"/>
      <c r="T20" s="1644">
        <f>IF('weitere Besondere Leistungen'!M218="ja",'weitere Besondere Leistungen'!L218,0)</f>
        <v>0</v>
      </c>
      <c r="U20" s="1645"/>
      <c r="X20" s="4"/>
      <c r="Y20" s="3"/>
      <c r="Z20" s="5"/>
    </row>
    <row r="21" spans="2:26" ht="14.55" x14ac:dyDescent="0.3">
      <c r="B21" s="1658">
        <f>IF('weitere Besondere Leistungen'!M36="ja",'weitere Besondere Leistungen'!L36,0)</f>
        <v>0</v>
      </c>
      <c r="C21" s="1659"/>
      <c r="D21" s="145"/>
      <c r="E21" s="1662">
        <f>IF('weitere Besondere Leistungen'!M102="ja",'weitere Besondere Leistungen'!L102,0)</f>
        <v>0</v>
      </c>
      <c r="F21" s="1663"/>
      <c r="G21" s="144"/>
      <c r="H21" s="49"/>
      <c r="I21" s="49"/>
      <c r="J21" s="49"/>
      <c r="K21" s="49"/>
      <c r="L21" s="49"/>
      <c r="M21" s="49"/>
      <c r="S21" s="171"/>
      <c r="T21" s="1644">
        <f>IF('weitere Besondere Leistungen'!M220="ja",'weitere Besondere Leistungen'!L220,0)</f>
        <v>0</v>
      </c>
      <c r="U21" s="1645"/>
      <c r="X21" s="4"/>
      <c r="Y21" s="3"/>
      <c r="Z21" s="5"/>
    </row>
    <row r="22" spans="2:26" ht="14.55" x14ac:dyDescent="0.3">
      <c r="B22" s="1658">
        <f>IF('weitere Besondere Leistungen'!M38="ja",'weitere Besondere Leistungen'!L38,0)</f>
        <v>0</v>
      </c>
      <c r="C22" s="1659"/>
      <c r="E22" s="1662">
        <f>IF('weitere Besondere Leistungen'!M104="ja",'weitere Besondere Leistungen'!L104,0)</f>
        <v>0</v>
      </c>
      <c r="F22" s="1663"/>
      <c r="K22" s="48"/>
      <c r="S22" s="171"/>
      <c r="T22" s="1644">
        <f>IF('weitere Besondere Leistungen'!M223="ja",'weitere Besondere Leistungen'!L223,0)</f>
        <v>0</v>
      </c>
      <c r="U22" s="1645"/>
      <c r="X22" s="4"/>
      <c r="Y22" s="3"/>
      <c r="Z22" s="5"/>
    </row>
    <row r="23" spans="2:26" ht="14.55" x14ac:dyDescent="0.3">
      <c r="B23" s="1658">
        <f>IF('weitere Besondere Leistungen'!M40="ja",'weitere Besondere Leistungen'!L40,0)</f>
        <v>0</v>
      </c>
      <c r="C23" s="1659"/>
      <c r="E23" s="1662">
        <f>IF('weitere Besondere Leistungen'!M106="ja",'weitere Besondere Leistungen'!L106,0)</f>
        <v>0</v>
      </c>
      <c r="F23" s="1663"/>
      <c r="K23" s="48"/>
      <c r="S23" s="171"/>
      <c r="T23" s="1644">
        <f>IF('weitere Besondere Leistungen'!M225="ja",'weitere Besondere Leistungen'!L225,0)</f>
        <v>0</v>
      </c>
      <c r="U23" s="1645"/>
      <c r="X23" s="4"/>
      <c r="Y23" s="3"/>
      <c r="Z23" s="5"/>
    </row>
    <row r="24" spans="2:26" ht="14.55" x14ac:dyDescent="0.3">
      <c r="B24" s="1665">
        <f>IF('weitere Besondere Leistungen'!M42="ja",'weitere Besondere Leistungen'!L42,0)</f>
        <v>0</v>
      </c>
      <c r="C24" s="1666"/>
      <c r="E24" s="1662">
        <f>IF('weitere Besondere Leistungen'!M108="ja",'weitere Besondere Leistungen'!L108,0)</f>
        <v>0</v>
      </c>
      <c r="F24" s="1663"/>
      <c r="K24" s="48"/>
      <c r="S24" s="171"/>
      <c r="T24" s="1644">
        <f>IF('weitere Besondere Leistungen'!M227="ja",'weitere Besondere Leistungen'!L227,0)</f>
        <v>0</v>
      </c>
      <c r="U24" s="1645"/>
      <c r="X24" s="4"/>
      <c r="Y24" s="3"/>
      <c r="Z24" s="5"/>
    </row>
    <row r="25" spans="2:26" ht="14.55" x14ac:dyDescent="0.3">
      <c r="B25" s="1665">
        <f>IF('weitere Besondere Leistungen'!M44="ja",'weitere Besondere Leistungen'!L44,0)</f>
        <v>0</v>
      </c>
      <c r="C25" s="1666"/>
      <c r="E25" s="1662">
        <f>IF('weitere Besondere Leistungen'!M110="ja",'weitere Besondere Leistungen'!L110,0)</f>
        <v>0</v>
      </c>
      <c r="F25" s="1663"/>
      <c r="K25" s="48"/>
      <c r="S25" s="171"/>
      <c r="T25" s="1644">
        <f>IF('weitere Besondere Leistungen'!M229="ja",'weitere Besondere Leistungen'!L229,0)</f>
        <v>0</v>
      </c>
      <c r="U25" s="1645"/>
      <c r="X25" s="4"/>
      <c r="Y25" s="3"/>
      <c r="Z25" s="5"/>
    </row>
    <row r="26" spans="2:26" ht="14.55" x14ac:dyDescent="0.3">
      <c r="B26" s="1665">
        <f>IF('weitere Besondere Leistungen'!M46="ja",'weitere Besondere Leistungen'!L46,0)</f>
        <v>0</v>
      </c>
      <c r="C26" s="1666"/>
      <c r="E26" s="1662">
        <f>IF('weitere Besondere Leistungen'!M112="ja",'weitere Besondere Leistungen'!L112,0)</f>
        <v>0</v>
      </c>
      <c r="F26" s="1663"/>
      <c r="K26" s="48"/>
      <c r="S26" s="171"/>
      <c r="T26" s="1644">
        <f>IF('weitere Besondere Leistungen'!M231="ja",'weitere Besondere Leistungen'!L231,0)</f>
        <v>0</v>
      </c>
      <c r="U26" s="1645"/>
      <c r="X26" s="4"/>
      <c r="Y26" s="3"/>
      <c r="Z26" s="5"/>
    </row>
    <row r="27" spans="2:26" ht="15.2" thickBot="1" x14ac:dyDescent="0.35">
      <c r="B27" s="1658">
        <f>IF('weitere Besondere Leistungen'!M48="ja",'weitere Besondere Leistungen'!L48,0)</f>
        <v>0</v>
      </c>
      <c r="C27" s="1659"/>
      <c r="E27" s="1667">
        <f>IF('weitere Besondere Leistungen'!M114="ja",'weitere Besondere Leistungen'!L114,0)</f>
        <v>0</v>
      </c>
      <c r="F27" s="1668"/>
      <c r="K27" s="48"/>
      <c r="S27" s="171"/>
      <c r="T27" s="1644">
        <f>IF('weitere Besondere Leistungen'!M233="ja",'weitere Besondere Leistungen'!L233,0)</f>
        <v>0</v>
      </c>
      <c r="U27" s="1645"/>
      <c r="X27" s="4"/>
      <c r="Y27" s="3"/>
      <c r="Z27" s="5"/>
    </row>
    <row r="28" spans="2:26" ht="14.55" x14ac:dyDescent="0.3">
      <c r="B28" s="1658">
        <f>IF('weitere Besondere Leistungen'!M50="ja",'weitere Besondere Leistungen'!L50,0)</f>
        <v>0</v>
      </c>
      <c r="C28" s="1659"/>
      <c r="E28" s="48"/>
      <c r="F28" s="166"/>
      <c r="K28" s="48"/>
      <c r="S28" s="171"/>
      <c r="T28" s="1644">
        <f>IF('weitere Besondere Leistungen'!M240="ja",'weitere Besondere Leistungen'!L240,0)</f>
        <v>0</v>
      </c>
      <c r="U28" s="1645"/>
      <c r="X28" s="4"/>
      <c r="Y28" s="3"/>
      <c r="Z28" s="5"/>
    </row>
    <row r="29" spans="2:26" ht="14.55" x14ac:dyDescent="0.3">
      <c r="B29" s="1658">
        <f>IF('weitere Besondere Leistungen'!M52="ja",'weitere Besondere Leistungen'!L52,0)</f>
        <v>0</v>
      </c>
      <c r="C29" s="1659"/>
      <c r="E29" s="48"/>
      <c r="F29" s="166"/>
      <c r="K29" s="48"/>
      <c r="S29" s="171"/>
      <c r="T29" s="1644">
        <f>IF('weitere Besondere Leistungen'!M242="ja",'weitere Besondere Leistungen'!L242,0)</f>
        <v>0</v>
      </c>
      <c r="U29" s="1645"/>
      <c r="X29" s="4"/>
      <c r="Y29" s="3"/>
      <c r="Z29" s="5"/>
    </row>
    <row r="30" spans="2:26" ht="14.55" x14ac:dyDescent="0.3">
      <c r="B30" s="1658">
        <f>IF('weitere Besondere Leistungen'!M54="ja",'weitere Besondere Leistungen'!L54,0)</f>
        <v>0</v>
      </c>
      <c r="C30" s="1659"/>
      <c r="E30" s="48"/>
      <c r="F30" s="166"/>
      <c r="K30" s="48"/>
      <c r="S30" s="171"/>
      <c r="T30" s="1644">
        <f>IF('weitere Besondere Leistungen'!M244="ja",'weitere Besondere Leistungen'!L244,0)</f>
        <v>0</v>
      </c>
      <c r="U30" s="1645"/>
      <c r="X30" s="4"/>
      <c r="Y30" s="3"/>
      <c r="Z30" s="5"/>
    </row>
    <row r="31" spans="2:26" ht="14.55" x14ac:dyDescent="0.3">
      <c r="B31" s="1658">
        <f>IF('weitere Besondere Leistungen'!M60="ja",'weitere Besondere Leistungen'!L60,0)</f>
        <v>0</v>
      </c>
      <c r="C31" s="1659"/>
      <c r="E31" s="48"/>
      <c r="F31" s="166"/>
      <c r="K31" s="48"/>
      <c r="S31" s="171"/>
      <c r="T31" s="1644">
        <f>IF('weitere Besondere Leistungen'!M246="ja",'weitere Besondere Leistungen'!L246,0)</f>
        <v>0</v>
      </c>
      <c r="U31" s="1645"/>
      <c r="X31" s="4"/>
      <c r="Y31" s="3"/>
      <c r="Z31" s="5"/>
    </row>
    <row r="32" spans="2:26" ht="14.55" x14ac:dyDescent="0.3">
      <c r="B32" s="1658">
        <f>IF('weitere Besondere Leistungen'!M62="ja",'weitere Besondere Leistungen'!L62,0)</f>
        <v>0</v>
      </c>
      <c r="C32" s="1659"/>
      <c r="E32" s="48"/>
      <c r="F32" s="166"/>
      <c r="K32" s="48"/>
      <c r="S32" s="171"/>
      <c r="T32" s="1644">
        <f>IF('weitere Besondere Leistungen'!M249="ja",'weitere Besondere Leistungen'!L249,0)</f>
        <v>0</v>
      </c>
      <c r="U32" s="1645"/>
      <c r="X32" s="4"/>
      <c r="Y32" s="3"/>
      <c r="Z32" s="5"/>
    </row>
    <row r="33" spans="2:26" ht="14.55" x14ac:dyDescent="0.3">
      <c r="B33" s="1658">
        <f>IF('weitere Besondere Leistungen'!M64="ja",'weitere Besondere Leistungen'!L64,0)</f>
        <v>0</v>
      </c>
      <c r="C33" s="1659"/>
      <c r="E33" s="48"/>
      <c r="F33" s="166"/>
      <c r="K33" s="48"/>
      <c r="S33" s="171"/>
      <c r="T33" s="1644">
        <f>IF('weitere Besondere Leistungen'!M253="ja",'weitere Besondere Leistungen'!L253,0)</f>
        <v>0</v>
      </c>
      <c r="U33" s="1645"/>
      <c r="X33" s="4"/>
      <c r="Y33" s="3"/>
      <c r="Z33" s="5"/>
    </row>
    <row r="34" spans="2:26" ht="14.55" x14ac:dyDescent="0.3">
      <c r="B34" s="1658">
        <f>IF('weitere Besondere Leistungen'!M66="ja",'weitere Besondere Leistungen'!L66,0)</f>
        <v>0</v>
      </c>
      <c r="C34" s="1659"/>
      <c r="E34" s="48"/>
      <c r="F34" s="166"/>
      <c r="K34" s="48"/>
      <c r="S34" s="171"/>
      <c r="T34" s="1644">
        <f>IF('weitere Besondere Leistungen'!M255="ja",'weitere Besondere Leistungen'!L255,0)</f>
        <v>0</v>
      </c>
      <c r="U34" s="1645"/>
      <c r="X34" s="4"/>
      <c r="Y34" s="3"/>
      <c r="Z34" s="5"/>
    </row>
    <row r="35" spans="2:26" ht="15.2" thickBot="1" x14ac:dyDescent="0.35">
      <c r="B35" s="1660">
        <f>IF('weitere Besondere Leistungen'!M68="ja",'weitere Besondere Leistungen'!L68,0)</f>
        <v>0</v>
      </c>
      <c r="C35" s="1661"/>
      <c r="E35" s="48"/>
      <c r="F35" s="166"/>
      <c r="K35" s="48"/>
      <c r="S35" s="171"/>
      <c r="T35" s="1644">
        <f>IF('weitere Besondere Leistungen'!M257="ja",'weitere Besondere Leistungen'!L257,0)</f>
        <v>0</v>
      </c>
      <c r="U35" s="1645"/>
      <c r="X35" s="4"/>
      <c r="Y35" s="3"/>
      <c r="Z35" s="5"/>
    </row>
    <row r="36" spans="2:26" ht="14.55" x14ac:dyDescent="0.3">
      <c r="B36" s="171"/>
      <c r="C36" s="171"/>
      <c r="E36" s="48"/>
      <c r="F36" s="166"/>
      <c r="K36" s="48"/>
      <c r="S36" s="171"/>
      <c r="T36" s="1644">
        <f>IF('weitere Besondere Leistungen'!M262="ja",'weitere Besondere Leistungen'!L262,0)</f>
        <v>0</v>
      </c>
      <c r="U36" s="1645"/>
      <c r="X36" s="4"/>
      <c r="Y36" s="3"/>
      <c r="Z36" s="5"/>
    </row>
    <row r="37" spans="2:26" ht="14.55" x14ac:dyDescent="0.3">
      <c r="B37" s="171"/>
      <c r="C37" s="171"/>
      <c r="E37" s="48"/>
      <c r="F37" s="166"/>
      <c r="K37" s="48"/>
      <c r="S37" s="171"/>
      <c r="T37" s="1644">
        <f>IF('weitere Besondere Leistungen'!M264="ja",'weitere Besondere Leistungen'!L264,0)</f>
        <v>0</v>
      </c>
      <c r="U37" s="1645"/>
      <c r="X37" s="4"/>
      <c r="Y37" s="3"/>
      <c r="Z37" s="5"/>
    </row>
    <row r="38" spans="2:26" ht="14.55" x14ac:dyDescent="0.3">
      <c r="B38" s="171"/>
      <c r="C38" s="171"/>
      <c r="E38" s="48"/>
      <c r="F38" s="166"/>
      <c r="K38" s="48"/>
      <c r="S38" s="171"/>
      <c r="T38" s="1644">
        <f>IF('weitere Besondere Leistungen'!M266="ja",'weitere Besondere Leistungen'!L266,0)</f>
        <v>0</v>
      </c>
      <c r="U38" s="1645"/>
      <c r="X38" s="4"/>
      <c r="Y38" s="3"/>
      <c r="Z38" s="5"/>
    </row>
    <row r="39" spans="2:26" ht="14.55" x14ac:dyDescent="0.3">
      <c r="B39" s="171"/>
      <c r="C39" s="171"/>
      <c r="E39" s="48"/>
      <c r="F39" s="166"/>
      <c r="K39" s="48"/>
      <c r="S39" s="171"/>
      <c r="T39" s="1644">
        <f>IF('weitere Besondere Leistungen'!M268="ja",'weitere Besondere Leistungen'!L268,0)</f>
        <v>0</v>
      </c>
      <c r="U39" s="1645"/>
      <c r="X39" s="4"/>
      <c r="Y39" s="3"/>
      <c r="Z39" s="5"/>
    </row>
    <row r="40" spans="2:26" ht="14.55" x14ac:dyDescent="0.3">
      <c r="B40" s="171"/>
      <c r="C40" s="171"/>
      <c r="E40" s="48"/>
      <c r="F40" s="166"/>
      <c r="K40" s="48"/>
      <c r="S40" s="171"/>
      <c r="T40" s="1644">
        <f>IF('weitere Besondere Leistungen'!M270="ja",'weitere Besondere Leistungen'!L270,0)</f>
        <v>0</v>
      </c>
      <c r="U40" s="1645"/>
      <c r="X40" s="4"/>
      <c r="Y40" s="3"/>
      <c r="Z40" s="5"/>
    </row>
    <row r="41" spans="2:26" ht="14.55" x14ac:dyDescent="0.3">
      <c r="B41" s="171"/>
      <c r="C41" s="171"/>
      <c r="E41" s="48"/>
      <c r="F41" s="166"/>
      <c r="K41" s="48"/>
      <c r="S41" s="171"/>
      <c r="T41" s="1644">
        <f>IF('weitere Besondere Leistungen'!M272="ja",'weitere Besondere Leistungen'!L272,0)</f>
        <v>0</v>
      </c>
      <c r="U41" s="1645"/>
      <c r="X41" s="4"/>
      <c r="Y41" s="3"/>
      <c r="Z41" s="5"/>
    </row>
    <row r="42" spans="2:26" ht="14.55" x14ac:dyDescent="0.3">
      <c r="B42" s="171"/>
      <c r="C42" s="171"/>
      <c r="E42" s="48"/>
      <c r="F42" s="166"/>
      <c r="K42" s="48"/>
      <c r="S42" s="171"/>
      <c r="T42" s="1644">
        <f>IF('weitere Besondere Leistungen'!M274="ja",'weitere Besondere Leistungen'!L274,0)</f>
        <v>0</v>
      </c>
      <c r="U42" s="1645"/>
      <c r="X42" s="4"/>
      <c r="Y42" s="3"/>
      <c r="Z42" s="5"/>
    </row>
    <row r="43" spans="2:26" ht="14.55" x14ac:dyDescent="0.3">
      <c r="B43" s="171"/>
      <c r="C43" s="171"/>
      <c r="E43" s="48"/>
      <c r="F43" s="166"/>
      <c r="K43" s="48"/>
      <c r="S43" s="171"/>
      <c r="T43" s="1644">
        <f>IF('weitere Besondere Leistungen'!M276="ja",'weitere Besondere Leistungen'!L276,0)</f>
        <v>0</v>
      </c>
      <c r="U43" s="1645"/>
      <c r="X43" s="4"/>
      <c r="Y43" s="3"/>
      <c r="Z43" s="5"/>
    </row>
    <row r="44" spans="2:26" ht="14.55" x14ac:dyDescent="0.3">
      <c r="B44" s="171"/>
      <c r="C44" s="171"/>
      <c r="E44" s="48"/>
      <c r="F44" s="166"/>
      <c r="K44" s="48"/>
      <c r="S44" s="171"/>
      <c r="T44" s="1644">
        <f>IF('weitere Besondere Leistungen'!M278="ja",'weitere Besondere Leistungen'!L278,0)</f>
        <v>0</v>
      </c>
      <c r="U44" s="1645"/>
      <c r="X44" s="4"/>
      <c r="Y44" s="3"/>
      <c r="Z44" s="5"/>
    </row>
    <row r="45" spans="2:26" ht="14.55" x14ac:dyDescent="0.3">
      <c r="B45" s="171"/>
      <c r="C45" s="171"/>
      <c r="E45" s="48"/>
      <c r="F45" s="166"/>
      <c r="K45" s="48"/>
      <c r="S45" s="171"/>
      <c r="T45" s="1644">
        <f>IF('weitere Besondere Leistungen'!M280="ja",'weitere Besondere Leistungen'!L280,0)</f>
        <v>0</v>
      </c>
      <c r="U45" s="1645"/>
      <c r="X45" s="4"/>
      <c r="Y45" s="3"/>
      <c r="Z45" s="5"/>
    </row>
    <row r="46" spans="2:26" ht="14.55" x14ac:dyDescent="0.3">
      <c r="B46" s="171"/>
      <c r="C46" s="171"/>
      <c r="E46" s="48"/>
      <c r="F46" s="166"/>
      <c r="K46" s="48"/>
      <c r="S46" s="171"/>
      <c r="T46" s="1644">
        <f>IF('weitere Besondere Leistungen'!M282="ja",'weitere Besondere Leistungen'!L282,0)</f>
        <v>0</v>
      </c>
      <c r="U46" s="1645"/>
      <c r="X46" s="4"/>
      <c r="Y46" s="3"/>
      <c r="Z46" s="5"/>
    </row>
    <row r="47" spans="2:26" ht="14.55" x14ac:dyDescent="0.3">
      <c r="B47" s="171"/>
      <c r="C47" s="171"/>
      <c r="E47" s="48"/>
      <c r="F47" s="166"/>
      <c r="K47" s="48"/>
      <c r="S47" s="171"/>
      <c r="T47" s="1644">
        <f>IF('weitere Besondere Leistungen'!M284="ja",'weitere Besondere Leistungen'!L284,0)</f>
        <v>0</v>
      </c>
      <c r="U47" s="1645"/>
      <c r="X47" s="4"/>
      <c r="Y47" s="3"/>
      <c r="Z47" s="5"/>
    </row>
    <row r="48" spans="2:26" ht="14.55" x14ac:dyDescent="0.3">
      <c r="B48" s="171"/>
      <c r="C48" s="171"/>
      <c r="E48" s="48"/>
      <c r="F48" s="166"/>
      <c r="K48" s="48"/>
      <c r="S48" s="171"/>
      <c r="T48" s="1644">
        <f>IF('weitere Besondere Leistungen'!M286="ja",'weitere Besondere Leistungen'!L286,0)</f>
        <v>0</v>
      </c>
      <c r="U48" s="1645"/>
      <c r="X48" s="4"/>
      <c r="Y48" s="3"/>
      <c r="Z48" s="5"/>
    </row>
    <row r="49" spans="2:26" ht="14.55" x14ac:dyDescent="0.3">
      <c r="B49" s="171"/>
      <c r="C49" s="171"/>
      <c r="E49" s="48"/>
      <c r="F49" s="166"/>
      <c r="K49" s="48"/>
      <c r="S49" s="171"/>
      <c r="T49" s="1644">
        <f>IF('weitere Besondere Leistungen'!M288="ja",'weitere Besondere Leistungen'!L288,0)</f>
        <v>0</v>
      </c>
      <c r="U49" s="1645"/>
      <c r="X49" s="4"/>
      <c r="Y49" s="3"/>
      <c r="Z49" s="5"/>
    </row>
    <row r="50" spans="2:26" ht="14.55" x14ac:dyDescent="0.3">
      <c r="B50" s="171"/>
      <c r="C50" s="171"/>
      <c r="E50" s="48"/>
      <c r="F50" s="166"/>
      <c r="K50" s="48"/>
      <c r="S50" s="171"/>
      <c r="T50" s="1644">
        <f>IF('weitere Besondere Leistungen'!M290="ja",'weitere Besondere Leistungen'!L290,0)</f>
        <v>0</v>
      </c>
      <c r="U50" s="1645"/>
      <c r="X50" s="4"/>
      <c r="Y50" s="3"/>
      <c r="Z50" s="5"/>
    </row>
    <row r="51" spans="2:26" ht="14.55" x14ac:dyDescent="0.3">
      <c r="B51" s="171"/>
      <c r="C51" s="171"/>
      <c r="E51" s="48"/>
      <c r="F51" s="166"/>
      <c r="K51" s="48"/>
      <c r="S51" s="171"/>
      <c r="T51" s="1644">
        <f>IF('weitere Besondere Leistungen'!M292="ja",'weitere Besondere Leistungen'!L292,0)</f>
        <v>0</v>
      </c>
      <c r="U51" s="1645"/>
      <c r="X51" s="4"/>
      <c r="Y51" s="3"/>
      <c r="Z51" s="5"/>
    </row>
    <row r="52" spans="2:26" ht="14.55" x14ac:dyDescent="0.3">
      <c r="B52" s="171"/>
      <c r="C52" s="171"/>
      <c r="E52" s="48"/>
      <c r="F52" s="166"/>
      <c r="K52" s="48"/>
      <c r="S52" s="171"/>
      <c r="T52" s="1644">
        <f>IF('weitere Besondere Leistungen'!M295="ja",'weitere Besondere Leistungen'!L295,0)</f>
        <v>0</v>
      </c>
      <c r="U52" s="1645"/>
      <c r="X52" s="4"/>
      <c r="Y52" s="3"/>
      <c r="Z52" s="5"/>
    </row>
    <row r="53" spans="2:26" ht="14.55" x14ac:dyDescent="0.3">
      <c r="B53" s="171"/>
      <c r="C53" s="171"/>
      <c r="E53" s="48"/>
      <c r="F53" s="166"/>
      <c r="K53" s="48"/>
      <c r="S53" s="171"/>
      <c r="T53" s="1644">
        <f>IF('weitere Besondere Leistungen'!M297="ja",'weitere Besondere Leistungen'!L297,0)</f>
        <v>0</v>
      </c>
      <c r="U53" s="1645"/>
      <c r="X53" s="4"/>
      <c r="Y53" s="3"/>
      <c r="Z53" s="5"/>
    </row>
    <row r="54" spans="2:26" ht="14.55" x14ac:dyDescent="0.3">
      <c r="B54" s="171"/>
      <c r="C54" s="171"/>
      <c r="E54" s="48"/>
      <c r="F54" s="166"/>
      <c r="K54" s="48"/>
      <c r="S54" s="171"/>
      <c r="T54" s="1644">
        <f>IF('weitere Besondere Leistungen'!M300="ja",'weitere Besondere Leistungen'!L300,0)</f>
        <v>0</v>
      </c>
      <c r="U54" s="1645"/>
      <c r="X54" s="4"/>
      <c r="Y54" s="3"/>
      <c r="Z54" s="5"/>
    </row>
    <row r="55" spans="2:26" ht="14.55" x14ac:dyDescent="0.3">
      <c r="B55" s="171"/>
      <c r="C55" s="171"/>
      <c r="E55" s="48"/>
      <c r="F55" s="166"/>
      <c r="K55" s="48"/>
      <c r="S55" s="171"/>
      <c r="T55" s="1644">
        <f>IF('weitere Besondere Leistungen'!M302="ja",'weitere Besondere Leistungen'!L302,0)</f>
        <v>0</v>
      </c>
      <c r="U55" s="1645"/>
      <c r="X55" s="4"/>
      <c r="Y55" s="3"/>
      <c r="Z55" s="5"/>
    </row>
    <row r="56" spans="2:26" ht="14.55" x14ac:dyDescent="0.3">
      <c r="B56" s="171"/>
      <c r="C56" s="171"/>
      <c r="E56" s="48"/>
      <c r="F56" s="166"/>
      <c r="K56" s="48"/>
      <c r="S56" s="171"/>
      <c r="T56" s="1644">
        <f>IF('weitere Besondere Leistungen'!M304="ja",'weitere Besondere Leistungen'!L304,0)</f>
        <v>0</v>
      </c>
      <c r="U56" s="1645"/>
      <c r="X56" s="4"/>
      <c r="Y56" s="3"/>
      <c r="Z56" s="5"/>
    </row>
    <row r="57" spans="2:26" ht="14.55" x14ac:dyDescent="0.3">
      <c r="B57" s="171"/>
      <c r="C57" s="171"/>
      <c r="E57" s="48"/>
      <c r="F57" s="166"/>
      <c r="K57" s="48"/>
      <c r="S57" s="171"/>
      <c r="T57" s="1644">
        <f>IF('weitere Besondere Leistungen'!M306="ja",'weitere Besondere Leistungen'!L306,0)</f>
        <v>0</v>
      </c>
      <c r="U57" s="1645"/>
      <c r="X57" s="4"/>
      <c r="Y57" s="3"/>
      <c r="Z57" s="5"/>
    </row>
    <row r="58" spans="2:26" ht="14.55" x14ac:dyDescent="0.3">
      <c r="B58" s="171"/>
      <c r="C58" s="171"/>
      <c r="E58" s="48"/>
      <c r="F58" s="166"/>
      <c r="K58" s="48"/>
      <c r="S58" s="171"/>
      <c r="T58" s="1644">
        <f>IF('weitere Besondere Leistungen'!M308="ja",'weitere Besondere Leistungen'!L308,0)</f>
        <v>0</v>
      </c>
      <c r="U58" s="1645"/>
      <c r="X58" s="4"/>
      <c r="Y58" s="3"/>
      <c r="Z58" s="5"/>
    </row>
    <row r="59" spans="2:26" ht="14.55" x14ac:dyDescent="0.3">
      <c r="B59" s="171"/>
      <c r="C59" s="171"/>
      <c r="E59" s="48"/>
      <c r="F59" s="166"/>
      <c r="K59" s="48"/>
      <c r="S59" s="171"/>
      <c r="T59" s="1644">
        <f>IF('weitere Besondere Leistungen'!M310="ja",'weitere Besondere Leistungen'!L310,0)</f>
        <v>0</v>
      </c>
      <c r="U59" s="1645"/>
      <c r="X59" s="4"/>
      <c r="Y59" s="3"/>
      <c r="Z59" s="5"/>
    </row>
    <row r="60" spans="2:26" ht="14.55" x14ac:dyDescent="0.3">
      <c r="B60" s="171"/>
      <c r="C60" s="171"/>
      <c r="E60" s="48"/>
      <c r="F60" s="166"/>
      <c r="K60" s="48"/>
      <c r="S60" s="171"/>
      <c r="T60" s="1644">
        <f>IF('weitere Besondere Leistungen'!M312="ja",'weitere Besondere Leistungen'!L312,0)</f>
        <v>0</v>
      </c>
      <c r="U60" s="1645"/>
      <c r="X60" s="4"/>
      <c r="Y60" s="3"/>
      <c r="Z60" s="5"/>
    </row>
    <row r="61" spans="2:26" ht="14.55" x14ac:dyDescent="0.3">
      <c r="B61" s="171"/>
      <c r="C61" s="171"/>
      <c r="E61" s="48"/>
      <c r="F61" s="166"/>
      <c r="K61" s="48"/>
      <c r="S61" s="171"/>
      <c r="T61" s="1644">
        <f>IF('weitere Besondere Leistungen'!M314="ja",'weitere Besondere Leistungen'!L314,0)</f>
        <v>0</v>
      </c>
      <c r="U61" s="1645"/>
      <c r="X61" s="4"/>
      <c r="Y61" s="3"/>
      <c r="Z61" s="5"/>
    </row>
    <row r="62" spans="2:26" ht="14.55" x14ac:dyDescent="0.3">
      <c r="B62" s="171"/>
      <c r="C62" s="171"/>
      <c r="E62" s="48"/>
      <c r="F62" s="166"/>
      <c r="K62" s="48"/>
      <c r="S62" s="171"/>
      <c r="T62" s="1644">
        <f>IF('weitere Besondere Leistungen'!M316="ja",'weitere Besondere Leistungen'!L316,0)</f>
        <v>0</v>
      </c>
      <c r="U62" s="1645"/>
      <c r="X62" s="4"/>
      <c r="Y62" s="3"/>
      <c r="Z62" s="5"/>
    </row>
    <row r="63" spans="2:26" ht="14.55" x14ac:dyDescent="0.3">
      <c r="B63" s="171"/>
      <c r="C63" s="171"/>
      <c r="E63" s="48"/>
      <c r="F63" s="166"/>
      <c r="K63" s="48"/>
      <c r="S63" s="171"/>
      <c r="T63" s="1644">
        <f>IF('weitere Besondere Leistungen'!M318="ja",'weitere Besondere Leistungen'!L318,0)</f>
        <v>0</v>
      </c>
      <c r="U63" s="1645"/>
      <c r="X63" s="4"/>
      <c r="Y63" s="3"/>
      <c r="Z63" s="5"/>
    </row>
    <row r="64" spans="2:26" ht="14.55" x14ac:dyDescent="0.3">
      <c r="B64" s="171"/>
      <c r="C64" s="171"/>
      <c r="E64" s="48"/>
      <c r="F64" s="166"/>
      <c r="K64" s="48"/>
      <c r="S64" s="171"/>
      <c r="T64" s="1644">
        <f>IF('weitere Besondere Leistungen'!M320="ja",'weitere Besondere Leistungen'!L320,0)</f>
        <v>0</v>
      </c>
      <c r="U64" s="1645"/>
      <c r="X64" s="4"/>
      <c r="Y64" s="3"/>
      <c r="Z64" s="5"/>
    </row>
    <row r="65" spans="1:26" ht="14.55" x14ac:dyDescent="0.3">
      <c r="B65" s="171"/>
      <c r="C65" s="171"/>
      <c r="E65" s="48"/>
      <c r="F65" s="166"/>
      <c r="K65" s="48"/>
      <c r="S65" s="171"/>
      <c r="T65" s="1644">
        <f>IF('weitere Besondere Leistungen'!M322="ja",'weitere Besondere Leistungen'!L322,0)</f>
        <v>0</v>
      </c>
      <c r="U65" s="1645"/>
      <c r="X65" s="4"/>
      <c r="Y65" s="3"/>
      <c r="Z65" s="5"/>
    </row>
    <row r="66" spans="1:26" ht="14.55" x14ac:dyDescent="0.3">
      <c r="B66" s="171"/>
      <c r="C66" s="171"/>
      <c r="E66" s="48"/>
      <c r="F66" s="166"/>
      <c r="K66" s="48"/>
      <c r="S66" s="171"/>
      <c r="T66" s="1644">
        <f>IF('weitere Besondere Leistungen'!M324="ja",'weitere Besondere Leistungen'!L324,0)</f>
        <v>0</v>
      </c>
      <c r="U66" s="1645"/>
      <c r="X66" s="4"/>
      <c r="Y66" s="3"/>
      <c r="Z66" s="5"/>
    </row>
    <row r="67" spans="1:26" ht="14.55" x14ac:dyDescent="0.3">
      <c r="B67" s="171"/>
      <c r="C67" s="171"/>
      <c r="E67" s="48"/>
      <c r="F67" s="166"/>
      <c r="K67" s="48"/>
      <c r="S67" s="171"/>
      <c r="T67" s="1644">
        <f>IF('weitere Besondere Leistungen'!M326="ja",'weitere Besondere Leistungen'!L326,0)</f>
        <v>0</v>
      </c>
      <c r="U67" s="1645"/>
      <c r="X67" s="4"/>
      <c r="Y67" s="3"/>
      <c r="Z67" s="5"/>
    </row>
    <row r="68" spans="1:26" ht="14.55" x14ac:dyDescent="0.3">
      <c r="B68" s="171"/>
      <c r="C68" s="171"/>
      <c r="E68" s="48"/>
      <c r="F68" s="166"/>
      <c r="K68" s="48"/>
      <c r="S68" s="171"/>
      <c r="T68" s="1644">
        <f>IF('weitere Besondere Leistungen'!M328="ja",'weitere Besondere Leistungen'!L328,0)</f>
        <v>0</v>
      </c>
      <c r="U68" s="1645"/>
      <c r="X68" s="4"/>
      <c r="Y68" s="3"/>
      <c r="Z68" s="5"/>
    </row>
    <row r="69" spans="1:26" ht="15.2" thickBot="1" x14ac:dyDescent="0.35">
      <c r="B69" s="171"/>
      <c r="C69" s="171"/>
      <c r="E69" s="48"/>
      <c r="F69" s="166"/>
      <c r="K69" s="48"/>
      <c r="S69" s="171"/>
      <c r="T69" s="1646">
        <f>IF('weitere Besondere Leistungen'!M330="ja",'weitere Besondere Leistungen'!L330,0)</f>
        <v>0</v>
      </c>
      <c r="U69" s="1647"/>
      <c r="X69" s="4"/>
      <c r="Y69" s="3"/>
      <c r="Z69" s="5"/>
    </row>
    <row r="70" spans="1:26" ht="15.2" thickBot="1" x14ac:dyDescent="0.35">
      <c r="B70" s="208"/>
      <c r="C70" s="208"/>
      <c r="E70" s="173"/>
      <c r="F70" s="174"/>
      <c r="K70" s="48"/>
      <c r="X70" s="4"/>
      <c r="Y70" s="3"/>
      <c r="Z70" s="5"/>
    </row>
    <row r="71" spans="1:26" ht="14.55" thickBot="1" x14ac:dyDescent="0.3">
      <c r="A71" s="1" t="s">
        <v>639</v>
      </c>
      <c r="B71" s="1648">
        <f>SUM(B7:C35)</f>
        <v>0</v>
      </c>
      <c r="C71" s="1649"/>
      <c r="E71" s="1648">
        <f>SUM(E7:F27)</f>
        <v>0</v>
      </c>
      <c r="F71" s="1649"/>
      <c r="H71" s="1641">
        <f>SUM(H7:I23)</f>
        <v>0</v>
      </c>
      <c r="I71" s="1642"/>
      <c r="K71" s="1641">
        <f>SUM(K7:L23)</f>
        <v>0</v>
      </c>
      <c r="L71" s="1642"/>
      <c r="N71" s="1641">
        <f>SUM(N7:O23)</f>
        <v>0</v>
      </c>
      <c r="O71" s="1642"/>
      <c r="P71" s="301"/>
      <c r="Q71" s="1641">
        <f>SUM(Q7:R12)</f>
        <v>0</v>
      </c>
      <c r="R71" s="1642"/>
      <c r="S71" s="301"/>
      <c r="T71" s="1641">
        <f>SUM(T7:U69)</f>
        <v>0</v>
      </c>
      <c r="U71" s="1642"/>
      <c r="W71" s="1641">
        <f>SUM(W7:X69)</f>
        <v>0</v>
      </c>
      <c r="X71" s="1642"/>
      <c r="Y71" s="295" t="s">
        <v>640</v>
      </c>
      <c r="Z71" s="637">
        <f>SUM(B71:X71)</f>
        <v>0</v>
      </c>
    </row>
    <row r="72" spans="1:26" ht="14.55" x14ac:dyDescent="0.3">
      <c r="X72" s="4"/>
      <c r="Y72" s="3"/>
      <c r="Z72" s="5"/>
    </row>
    <row r="73" spans="1:26" ht="15.8" x14ac:dyDescent="0.3">
      <c r="A73" s="1678" t="s">
        <v>641</v>
      </c>
      <c r="B73" s="1678"/>
      <c r="C73" s="1678"/>
      <c r="D73" s="1678"/>
      <c r="E73" s="1678"/>
      <c r="F73" s="1678"/>
      <c r="G73" s="1678"/>
      <c r="H73" s="1678"/>
      <c r="I73" s="1678"/>
      <c r="J73" s="1678"/>
      <c r="X73" s="4"/>
      <c r="Y73" s="3"/>
      <c r="Z73" s="5"/>
    </row>
    <row r="74" spans="1:26" ht="15.2" thickBot="1" x14ac:dyDescent="0.35">
      <c r="X74" s="4"/>
      <c r="Y74" s="3"/>
      <c r="Z74" s="5"/>
    </row>
    <row r="75" spans="1:26" ht="15.2" thickBot="1" x14ac:dyDescent="0.35">
      <c r="B75" s="1679" t="str">
        <f>'weitere Besondere Leistungen'!B5</f>
        <v xml:space="preserve"> Besondere Leistungen im Zusammenhang mit Instandsetzungen und Modernisierungen</v>
      </c>
      <c r="C75" s="1680"/>
      <c r="D75" s="1680"/>
      <c r="E75" s="1680"/>
      <c r="F75" s="1680"/>
      <c r="G75" s="1680"/>
      <c r="H75" s="1680"/>
      <c r="I75" s="1680"/>
      <c r="J75" s="1680"/>
      <c r="K75" s="1681"/>
      <c r="X75" s="4"/>
      <c r="Y75" s="3"/>
      <c r="Z75" s="5"/>
    </row>
    <row r="76" spans="1:26" ht="15.2" thickBot="1" x14ac:dyDescent="0.35">
      <c r="B76" s="100" t="s">
        <v>115</v>
      </c>
      <c r="C76" s="148">
        <v>1</v>
      </c>
      <c r="D76" s="149">
        <v>2</v>
      </c>
      <c r="E76" s="149">
        <v>3</v>
      </c>
      <c r="F76" s="149">
        <v>4</v>
      </c>
      <c r="G76" s="149">
        <v>5</v>
      </c>
      <c r="H76" s="149">
        <v>6</v>
      </c>
      <c r="I76" s="149">
        <v>7</v>
      </c>
      <c r="J76" s="150">
        <v>8</v>
      </c>
      <c r="K76" s="150">
        <v>9</v>
      </c>
      <c r="L76" s="146"/>
      <c r="M76" s="146"/>
      <c r="N76" s="146"/>
      <c r="O76" s="146"/>
      <c r="P76" s="146"/>
      <c r="Q76" s="146"/>
      <c r="R76" s="146"/>
      <c r="S76" s="146"/>
      <c r="T76" s="146"/>
      <c r="U76" s="146"/>
      <c r="X76" s="4"/>
      <c r="Y76" s="3"/>
      <c r="Z76" s="5"/>
    </row>
    <row r="77" spans="1:26" ht="14.55" x14ac:dyDescent="0.3">
      <c r="B77" s="161"/>
      <c r="C77" s="151">
        <f>IF(C$76='weitere Besondere Leistungen'!$N$8,'weitere Besondere Leistungen'!$L$8,0)</f>
        <v>0</v>
      </c>
      <c r="D77" s="152">
        <f>IF(D$76='weitere Besondere Leistungen'!$N$8,'weitere Besondere Leistungen'!$L$8,0)</f>
        <v>0</v>
      </c>
      <c r="E77" s="152">
        <f>IF(E$76='weitere Besondere Leistungen'!$N$8,'weitere Besondere Leistungen'!$L$8,0)</f>
        <v>0</v>
      </c>
      <c r="F77" s="152">
        <f>IF(F$76='weitere Besondere Leistungen'!$N$8,'weitere Besondere Leistungen'!$L$8,0)</f>
        <v>0</v>
      </c>
      <c r="G77" s="152">
        <f>IF(G$76='weitere Besondere Leistungen'!$N$8,'weitere Besondere Leistungen'!$L$8,0)</f>
        <v>0</v>
      </c>
      <c r="H77" s="152">
        <f>IF(H$76='weitere Besondere Leistungen'!$N$8,'weitere Besondere Leistungen'!$L$8,0)</f>
        <v>0</v>
      </c>
      <c r="I77" s="152">
        <f>IF(I$76='weitere Besondere Leistungen'!$N$8,'weitere Besondere Leistungen'!$L$8,0)</f>
        <v>0</v>
      </c>
      <c r="J77" s="152">
        <f>IF(J$76='weitere Besondere Leistungen'!$N$8,'weitere Besondere Leistungen'!$L$8,0)</f>
        <v>0</v>
      </c>
      <c r="K77" s="153">
        <f>IF(K$76='weitere Besondere Leistungen'!$N$8,'weitere Besondere Leistungen'!$L$8,0)</f>
        <v>0</v>
      </c>
      <c r="L77" s="48"/>
      <c r="M77" s="48"/>
      <c r="N77" s="48"/>
      <c r="O77" s="48"/>
      <c r="P77" s="48"/>
      <c r="Q77" s="48"/>
      <c r="R77" s="48"/>
      <c r="S77" s="48"/>
      <c r="T77" s="48"/>
      <c r="U77" s="49"/>
      <c r="X77" s="4"/>
      <c r="Y77" s="3"/>
      <c r="Z77" s="5"/>
    </row>
    <row r="78" spans="1:26" ht="14.55" x14ac:dyDescent="0.3">
      <c r="B78" s="162"/>
      <c r="C78" s="154">
        <f>IF(C$76='weitere Besondere Leistungen'!$N$10,'weitere Besondere Leistungen'!$L$10,0)</f>
        <v>0</v>
      </c>
      <c r="D78" s="155">
        <f>IF(D$76='weitere Besondere Leistungen'!$N$10,'weitere Besondere Leistungen'!$L$10,0)</f>
        <v>0</v>
      </c>
      <c r="E78" s="155">
        <f>IF(E$76='weitere Besondere Leistungen'!$N$10,'weitere Besondere Leistungen'!$L$10,0)</f>
        <v>0</v>
      </c>
      <c r="F78" s="155">
        <f>IF(F$76='weitere Besondere Leistungen'!$N$10,'weitere Besondere Leistungen'!$L$10,0)</f>
        <v>0</v>
      </c>
      <c r="G78" s="155">
        <f>IF(G$76='weitere Besondere Leistungen'!$N$10,'weitere Besondere Leistungen'!$L$10,0)</f>
        <v>0</v>
      </c>
      <c r="H78" s="155">
        <f>IF(H$76='weitere Besondere Leistungen'!$N$10,'weitere Besondere Leistungen'!$L$10,0)</f>
        <v>0</v>
      </c>
      <c r="I78" s="155">
        <f>IF(I$76='weitere Besondere Leistungen'!$N$10,'weitere Besondere Leistungen'!$L$10,0)</f>
        <v>0</v>
      </c>
      <c r="J78" s="155">
        <f>IF(J$76='weitere Besondere Leistungen'!$N$10,'weitere Besondere Leistungen'!$L$10,0)</f>
        <v>0</v>
      </c>
      <c r="K78" s="156">
        <f>IF(K$76='weitere Besondere Leistungen'!$N$10,'weitere Besondere Leistungen'!$L$10,0)</f>
        <v>0</v>
      </c>
      <c r="L78" s="48"/>
      <c r="M78" s="48"/>
      <c r="N78" s="48"/>
      <c r="O78" s="48"/>
      <c r="P78" s="48"/>
      <c r="Q78" s="48"/>
      <c r="R78" s="48"/>
      <c r="S78" s="48"/>
      <c r="T78" s="48"/>
      <c r="U78" s="49"/>
      <c r="X78" s="4"/>
      <c r="Y78" s="3"/>
      <c r="Z78" s="5"/>
    </row>
    <row r="79" spans="1:26" ht="14.55" x14ac:dyDescent="0.3">
      <c r="B79" s="162"/>
      <c r="C79" s="154">
        <f>IF(C$76='weitere Besondere Leistungen'!$N$12,'weitere Besondere Leistungen'!$L$12,0)</f>
        <v>0</v>
      </c>
      <c r="D79" s="155">
        <f>IF(D$76='weitere Besondere Leistungen'!$N$12,'weitere Besondere Leistungen'!$L$12,0)</f>
        <v>0</v>
      </c>
      <c r="E79" s="155">
        <f>IF(E$76='weitere Besondere Leistungen'!$N$12,'weitere Besondere Leistungen'!$L$12,0)</f>
        <v>0</v>
      </c>
      <c r="F79" s="155">
        <f>IF(F$76='weitere Besondere Leistungen'!$N$12,'weitere Besondere Leistungen'!$L$12,0)</f>
        <v>0</v>
      </c>
      <c r="G79" s="155">
        <f>IF(G$76='weitere Besondere Leistungen'!$N$12,'weitere Besondere Leistungen'!$L$12,0)</f>
        <v>0</v>
      </c>
      <c r="H79" s="155">
        <f>IF(H$76='weitere Besondere Leistungen'!$N$12,'weitere Besondere Leistungen'!$L$12,0)</f>
        <v>0</v>
      </c>
      <c r="I79" s="155">
        <f>IF(I$76='weitere Besondere Leistungen'!$N$12,'weitere Besondere Leistungen'!$L$12,0)</f>
        <v>0</v>
      </c>
      <c r="J79" s="155">
        <f>IF(J$76='weitere Besondere Leistungen'!$N$12,'weitere Besondere Leistungen'!$L$12,0)</f>
        <v>0</v>
      </c>
      <c r="K79" s="156">
        <f>IF(K$76='weitere Besondere Leistungen'!$N$12,'weitere Besondere Leistungen'!$L$12,0)</f>
        <v>0</v>
      </c>
      <c r="L79" s="48"/>
      <c r="M79" s="48"/>
      <c r="N79" s="48"/>
      <c r="O79" s="48"/>
      <c r="P79" s="48"/>
      <c r="Q79" s="48"/>
      <c r="R79" s="48"/>
      <c r="S79" s="48"/>
      <c r="T79" s="48"/>
      <c r="U79" s="49"/>
      <c r="X79" s="4"/>
      <c r="Y79" s="3"/>
      <c r="Z79" s="5"/>
    </row>
    <row r="80" spans="1:26" ht="14.55" x14ac:dyDescent="0.3">
      <c r="B80" s="162"/>
      <c r="C80" s="154">
        <f>IF(C$76='weitere Besondere Leistungen'!$N$14,'weitere Besondere Leistungen'!$L$14,0)</f>
        <v>0</v>
      </c>
      <c r="D80" s="155">
        <f>IF(D$76='weitere Besondere Leistungen'!$N$14,'weitere Besondere Leistungen'!$L$14,0)</f>
        <v>0</v>
      </c>
      <c r="E80" s="155">
        <f>IF(E$76='weitere Besondere Leistungen'!$N$14,'weitere Besondere Leistungen'!$L$14,0)</f>
        <v>0</v>
      </c>
      <c r="F80" s="155">
        <f>IF(F$76='weitere Besondere Leistungen'!$N$14,'weitere Besondere Leistungen'!$L$14,0)</f>
        <v>0</v>
      </c>
      <c r="G80" s="155">
        <f>IF(G$76='weitere Besondere Leistungen'!$N$14,'weitere Besondere Leistungen'!$L$14,0)</f>
        <v>0</v>
      </c>
      <c r="H80" s="155">
        <f>IF(H$76='weitere Besondere Leistungen'!$N$14,'weitere Besondere Leistungen'!$L$14,0)</f>
        <v>0</v>
      </c>
      <c r="I80" s="155">
        <f>IF(I$76='weitere Besondere Leistungen'!$N$14,'weitere Besondere Leistungen'!$L$14,0)</f>
        <v>0</v>
      </c>
      <c r="J80" s="155">
        <f>IF(J$76='weitere Besondere Leistungen'!$N$14,'weitere Besondere Leistungen'!$L$14,0)</f>
        <v>0</v>
      </c>
      <c r="K80" s="156">
        <f>IF(K$76='weitere Besondere Leistungen'!$N$14,'weitere Besondere Leistungen'!$L$14,0)</f>
        <v>0</v>
      </c>
      <c r="L80" s="48"/>
      <c r="M80" s="48"/>
      <c r="N80" s="48"/>
      <c r="O80" s="48"/>
      <c r="P80" s="48"/>
      <c r="Q80" s="48"/>
      <c r="R80" s="48"/>
      <c r="S80" s="48"/>
      <c r="T80" s="48"/>
      <c r="U80" s="49"/>
      <c r="X80" s="4"/>
      <c r="Y80" s="3"/>
      <c r="Z80" s="5"/>
    </row>
    <row r="81" spans="2:26" ht="14.55" x14ac:dyDescent="0.3">
      <c r="B81" s="163"/>
      <c r="C81" s="154">
        <f>IF(C$76='weitere Besondere Leistungen'!$N$16,'weitere Besondere Leistungen'!$L$16,0)</f>
        <v>0</v>
      </c>
      <c r="D81" s="155">
        <f>IF(D$76='weitere Besondere Leistungen'!$N$16,'weitere Besondere Leistungen'!$L$16,0)</f>
        <v>0</v>
      </c>
      <c r="E81" s="155">
        <f>IF(E$76='weitere Besondere Leistungen'!$N$16,'weitere Besondere Leistungen'!$L$16,0)</f>
        <v>0</v>
      </c>
      <c r="F81" s="155">
        <f>IF(F$76='weitere Besondere Leistungen'!$N$16,'weitere Besondere Leistungen'!$L$16,0)</f>
        <v>0</v>
      </c>
      <c r="G81" s="155">
        <f>IF(G$76='weitere Besondere Leistungen'!$N$16,'weitere Besondere Leistungen'!$L$16,0)</f>
        <v>0</v>
      </c>
      <c r="H81" s="155">
        <f>IF(H$76='weitere Besondere Leistungen'!$N$16,'weitere Besondere Leistungen'!$L$16,0)</f>
        <v>0</v>
      </c>
      <c r="I81" s="155">
        <f>IF(I$76='weitere Besondere Leistungen'!$N$16,'weitere Besondere Leistungen'!$L$16,0)</f>
        <v>0</v>
      </c>
      <c r="J81" s="155">
        <f>IF(J$76='weitere Besondere Leistungen'!$N$16,'weitere Besondere Leistungen'!$L$16,0)</f>
        <v>0</v>
      </c>
      <c r="K81" s="156">
        <f>IF(K$76='weitere Besondere Leistungen'!$N$16,'weitere Besondere Leistungen'!$L$16,0)</f>
        <v>0</v>
      </c>
      <c r="U81" s="147"/>
      <c r="X81" s="4"/>
      <c r="Y81" s="3"/>
      <c r="Z81" s="5"/>
    </row>
    <row r="82" spans="2:26" ht="14.55" x14ac:dyDescent="0.3">
      <c r="B82" s="163"/>
      <c r="C82" s="154">
        <f>IF(C$76='weitere Besondere Leistungen'!$N$18,'weitere Besondere Leistungen'!$L$18,0)</f>
        <v>0</v>
      </c>
      <c r="D82" s="155">
        <f>IF(D$76='weitere Besondere Leistungen'!$N$18,'weitere Besondere Leistungen'!$L$18,0)</f>
        <v>0</v>
      </c>
      <c r="E82" s="155">
        <f>IF(E$76='weitere Besondere Leistungen'!$N$18,'weitere Besondere Leistungen'!$L$18,0)</f>
        <v>0</v>
      </c>
      <c r="F82" s="155">
        <f>IF(F$76='weitere Besondere Leistungen'!$N$18,'weitere Besondere Leistungen'!$L$18,0)</f>
        <v>0</v>
      </c>
      <c r="G82" s="155">
        <f>IF(G$76='weitere Besondere Leistungen'!$N$18,'weitere Besondere Leistungen'!$L$18,0)</f>
        <v>0</v>
      </c>
      <c r="H82" s="155">
        <f>IF(H$76='weitere Besondere Leistungen'!$N$18,'weitere Besondere Leistungen'!$L$18,0)</f>
        <v>0</v>
      </c>
      <c r="I82" s="155">
        <f>IF(I$76='weitere Besondere Leistungen'!$N$18,'weitere Besondere Leistungen'!$L$18,0)</f>
        <v>0</v>
      </c>
      <c r="J82" s="155">
        <f>IF(J$76='weitere Besondere Leistungen'!$N$18,'weitere Besondere Leistungen'!$L$18,0)</f>
        <v>0</v>
      </c>
      <c r="K82" s="156">
        <f>IF(K$76='weitere Besondere Leistungen'!$N$18,'weitere Besondere Leistungen'!$L$18,0)</f>
        <v>0</v>
      </c>
      <c r="X82" s="4"/>
      <c r="Y82" s="3"/>
      <c r="Z82" s="5"/>
    </row>
    <row r="83" spans="2:26" ht="14.55" x14ac:dyDescent="0.3">
      <c r="B83" s="163"/>
      <c r="C83" s="154">
        <f>IF(C$76='weitere Besondere Leistungen'!$N$20,'weitere Besondere Leistungen'!$L$20,0)</f>
        <v>0</v>
      </c>
      <c r="D83" s="155">
        <f>IF(D$76='weitere Besondere Leistungen'!$N$20,'weitere Besondere Leistungen'!$L$20,0)</f>
        <v>0</v>
      </c>
      <c r="E83" s="155">
        <f>IF(E$76='weitere Besondere Leistungen'!$N$20,'weitere Besondere Leistungen'!$L$20,0)</f>
        <v>0</v>
      </c>
      <c r="F83" s="155">
        <f>IF(F$76='weitere Besondere Leistungen'!$N$20,'weitere Besondere Leistungen'!$L$20,0)</f>
        <v>0</v>
      </c>
      <c r="G83" s="155">
        <f>IF(G$76='weitere Besondere Leistungen'!$N$20,'weitere Besondere Leistungen'!$L$20,0)</f>
        <v>0</v>
      </c>
      <c r="H83" s="155">
        <f>IF(H$76='weitere Besondere Leistungen'!$N$20,'weitere Besondere Leistungen'!$L$20,0)</f>
        <v>0</v>
      </c>
      <c r="I83" s="155">
        <f>IF(I$76='weitere Besondere Leistungen'!$N$20,'weitere Besondere Leistungen'!$L$20,0)</f>
        <v>0</v>
      </c>
      <c r="J83" s="155">
        <f>IF(J$76='weitere Besondere Leistungen'!$N$20,'weitere Besondere Leistungen'!$L$20,0)</f>
        <v>0</v>
      </c>
      <c r="K83" s="156">
        <f>IF(K$76='weitere Besondere Leistungen'!$N$20,'weitere Besondere Leistungen'!$L$20,0)</f>
        <v>0</v>
      </c>
      <c r="X83" s="4"/>
      <c r="Y83" s="3"/>
      <c r="Z83" s="5"/>
    </row>
    <row r="84" spans="2:26" ht="14.55" x14ac:dyDescent="0.3">
      <c r="B84" s="163"/>
      <c r="C84" s="154">
        <f>IF(C$76='weitere Besondere Leistungen'!$N$22,'weitere Besondere Leistungen'!$L$22,0)</f>
        <v>0</v>
      </c>
      <c r="D84" s="155">
        <f>IF(D$76='weitere Besondere Leistungen'!$N$22,'weitere Besondere Leistungen'!$L$22,0)</f>
        <v>0</v>
      </c>
      <c r="E84" s="155">
        <f>IF(E$76='weitere Besondere Leistungen'!$N$22,'weitere Besondere Leistungen'!$L$22,0)</f>
        <v>0</v>
      </c>
      <c r="F84" s="155">
        <f>IF(F$76='weitere Besondere Leistungen'!$N$22,'weitere Besondere Leistungen'!$L$22,0)</f>
        <v>0</v>
      </c>
      <c r="G84" s="155">
        <f>IF(G$76='weitere Besondere Leistungen'!$N$22,'weitere Besondere Leistungen'!$L$22,0)</f>
        <v>0</v>
      </c>
      <c r="H84" s="155">
        <f>IF(H$76='weitere Besondere Leistungen'!$N$22,'weitere Besondere Leistungen'!$L$22,0)</f>
        <v>0</v>
      </c>
      <c r="I84" s="155">
        <f>IF(I$76='weitere Besondere Leistungen'!$N$22,'weitere Besondere Leistungen'!$L$22,0)</f>
        <v>0</v>
      </c>
      <c r="J84" s="155">
        <f>IF(J$76='weitere Besondere Leistungen'!$N$22,'weitere Besondere Leistungen'!$L$22,0)</f>
        <v>0</v>
      </c>
      <c r="K84" s="156">
        <f>IF(K$76='weitere Besondere Leistungen'!$N$22,'weitere Besondere Leistungen'!$L$22,0)</f>
        <v>0</v>
      </c>
      <c r="X84" s="4"/>
      <c r="Y84" s="3"/>
      <c r="Z84" s="5"/>
    </row>
    <row r="85" spans="2:26" ht="14.55" x14ac:dyDescent="0.3">
      <c r="B85" s="163"/>
      <c r="C85" s="154">
        <f>IF(C$76='weitere Besondere Leistungen'!$N$24,'weitere Besondere Leistungen'!$L$24,0)</f>
        <v>0</v>
      </c>
      <c r="D85" s="155">
        <f>IF(D$76='weitere Besondere Leistungen'!$N$24,'weitere Besondere Leistungen'!$L$24,0)</f>
        <v>0</v>
      </c>
      <c r="E85" s="155">
        <f>IF(E$76='weitere Besondere Leistungen'!$N$24,'weitere Besondere Leistungen'!$L$24,0)</f>
        <v>0</v>
      </c>
      <c r="F85" s="155">
        <f>IF(F$76='weitere Besondere Leistungen'!$N$24,'weitere Besondere Leistungen'!$L$24,0)</f>
        <v>0</v>
      </c>
      <c r="G85" s="155">
        <f>IF(G$76='weitere Besondere Leistungen'!$N$24,'weitere Besondere Leistungen'!$L$24,0)</f>
        <v>0</v>
      </c>
      <c r="H85" s="155">
        <f>IF(H$76='weitere Besondere Leistungen'!$N$24,'weitere Besondere Leistungen'!$L$24,0)</f>
        <v>0</v>
      </c>
      <c r="I85" s="155">
        <f>IF(I$76='weitere Besondere Leistungen'!$N$24,'weitere Besondere Leistungen'!$L$24,0)</f>
        <v>0</v>
      </c>
      <c r="J85" s="155">
        <f>IF(J$76='weitere Besondere Leistungen'!$N$24,'weitere Besondere Leistungen'!$L$24,0)</f>
        <v>0</v>
      </c>
      <c r="K85" s="156">
        <f>IF(K$76='weitere Besondere Leistungen'!$N$24,'weitere Besondere Leistungen'!$L$24,0)</f>
        <v>0</v>
      </c>
      <c r="X85" s="4"/>
      <c r="Y85" s="3"/>
      <c r="Z85" s="5"/>
    </row>
    <row r="86" spans="2:26" ht="14.55" x14ac:dyDescent="0.3">
      <c r="B86" s="163"/>
      <c r="C86" s="154">
        <f>IF(C$76='weitere Besondere Leistungen'!$N$26,'weitere Besondere Leistungen'!$L$26,0)</f>
        <v>0</v>
      </c>
      <c r="D86" s="155">
        <f>IF(D$76='weitere Besondere Leistungen'!$N$26,'weitere Besondere Leistungen'!$L$26,0)</f>
        <v>0</v>
      </c>
      <c r="E86" s="155">
        <f>IF(E$76='weitere Besondere Leistungen'!$N$26,'weitere Besondere Leistungen'!$L$26,0)</f>
        <v>0</v>
      </c>
      <c r="F86" s="155">
        <f>IF(F$76='weitere Besondere Leistungen'!$N$26,'weitere Besondere Leistungen'!$L$26,0)</f>
        <v>0</v>
      </c>
      <c r="G86" s="155">
        <f>IF(G$76='weitere Besondere Leistungen'!$N$26,'weitere Besondere Leistungen'!$L$26,0)</f>
        <v>0</v>
      </c>
      <c r="H86" s="155">
        <f>IF(H$76='weitere Besondere Leistungen'!$N$26,'weitere Besondere Leistungen'!$L$26,0)</f>
        <v>0</v>
      </c>
      <c r="I86" s="155">
        <f>IF(I$76='weitere Besondere Leistungen'!$N$26,'weitere Besondere Leistungen'!$L$26,0)</f>
        <v>0</v>
      </c>
      <c r="J86" s="155">
        <f>IF(J$76='weitere Besondere Leistungen'!$N$26,'weitere Besondere Leistungen'!$L$26,0)</f>
        <v>0</v>
      </c>
      <c r="K86" s="156">
        <f>IF(K$76='weitere Besondere Leistungen'!$N$26,'weitere Besondere Leistungen'!$L$26,0)</f>
        <v>0</v>
      </c>
      <c r="X86" s="4"/>
      <c r="Y86" s="3"/>
      <c r="Z86" s="5"/>
    </row>
    <row r="87" spans="2:26" ht="14.55" x14ac:dyDescent="0.3">
      <c r="B87" s="163"/>
      <c r="C87" s="154">
        <f>IF(C$76='weitere Besondere Leistungen'!$N$28,'weitere Besondere Leistungen'!$L$28,0)</f>
        <v>0</v>
      </c>
      <c r="D87" s="155">
        <f>IF(D$76='weitere Besondere Leistungen'!$N$28,'weitere Besondere Leistungen'!$L$28,0)</f>
        <v>0</v>
      </c>
      <c r="E87" s="155">
        <f>IF(E$76='weitere Besondere Leistungen'!$N$28,'weitere Besondere Leistungen'!$L$28,0)</f>
        <v>0</v>
      </c>
      <c r="F87" s="155">
        <f>IF(F$76='weitere Besondere Leistungen'!$N$28,'weitere Besondere Leistungen'!$L$28,0)</f>
        <v>0</v>
      </c>
      <c r="G87" s="155">
        <f>IF(G$76='weitere Besondere Leistungen'!$N$28,'weitere Besondere Leistungen'!$L$28,0)</f>
        <v>0</v>
      </c>
      <c r="H87" s="155">
        <f>IF(H$76='weitere Besondere Leistungen'!$N$28,'weitere Besondere Leistungen'!$L$28,0)</f>
        <v>0</v>
      </c>
      <c r="I87" s="155">
        <f>IF(I$76='weitere Besondere Leistungen'!$N$28,'weitere Besondere Leistungen'!$L$28,0)</f>
        <v>0</v>
      </c>
      <c r="J87" s="155">
        <f>IF(J$76='weitere Besondere Leistungen'!$N$28,'weitere Besondere Leistungen'!$L$28,0)</f>
        <v>0</v>
      </c>
      <c r="K87" s="156">
        <f>IF(K$76='weitere Besondere Leistungen'!$N$28,'weitere Besondere Leistungen'!$L$28,0)</f>
        <v>0</v>
      </c>
      <c r="X87" s="4"/>
      <c r="Y87" s="3"/>
      <c r="Z87" s="5"/>
    </row>
    <row r="88" spans="2:26" ht="14.55" x14ac:dyDescent="0.3">
      <c r="B88" s="163"/>
      <c r="C88" s="154">
        <f>IF(C$76='weitere Besondere Leistungen'!$N$30,'weitere Besondere Leistungen'!$L$30,0)</f>
        <v>0</v>
      </c>
      <c r="D88" s="155">
        <f>IF(D$76='weitere Besondere Leistungen'!$N$30,'weitere Besondere Leistungen'!$L$30,0)</f>
        <v>0</v>
      </c>
      <c r="E88" s="155">
        <f>IF(E$76='weitere Besondere Leistungen'!$N$30,'weitere Besondere Leistungen'!$L$30,0)</f>
        <v>0</v>
      </c>
      <c r="F88" s="155">
        <f>IF(F$76='weitere Besondere Leistungen'!$N$30,'weitere Besondere Leistungen'!$L$30,0)</f>
        <v>0</v>
      </c>
      <c r="G88" s="155">
        <f>IF(G$76='weitere Besondere Leistungen'!$N$30,'weitere Besondere Leistungen'!$L$30,0)</f>
        <v>0</v>
      </c>
      <c r="H88" s="155">
        <f>IF(H$76='weitere Besondere Leistungen'!$N$30,'weitere Besondere Leistungen'!$L$30,0)</f>
        <v>0</v>
      </c>
      <c r="I88" s="155">
        <f>IF(I$76='weitere Besondere Leistungen'!$N$30,'weitere Besondere Leistungen'!$L$30,0)</f>
        <v>0</v>
      </c>
      <c r="J88" s="155">
        <f>IF(J$76='weitere Besondere Leistungen'!$N$30,'weitere Besondere Leistungen'!$L$30,0)</f>
        <v>0</v>
      </c>
      <c r="K88" s="156">
        <f>IF(K$76='weitere Besondere Leistungen'!$N$30,'weitere Besondere Leistungen'!$L$30,0)</f>
        <v>0</v>
      </c>
      <c r="X88" s="4"/>
      <c r="Y88" s="3"/>
      <c r="Z88" s="5"/>
    </row>
    <row r="89" spans="2:26" ht="14.55" x14ac:dyDescent="0.3">
      <c r="B89" s="163"/>
      <c r="C89" s="154">
        <f>IF(C$76='weitere Besondere Leistungen'!$N$32,'weitere Besondere Leistungen'!$L$32,0)</f>
        <v>0</v>
      </c>
      <c r="D89" s="155">
        <f>IF(D$76='weitere Besondere Leistungen'!$N$32,'weitere Besondere Leistungen'!$L$32,0)</f>
        <v>0</v>
      </c>
      <c r="E89" s="155">
        <f>IF(E$76='weitere Besondere Leistungen'!$N$32,'weitere Besondere Leistungen'!$L$32,0)</f>
        <v>0</v>
      </c>
      <c r="F89" s="155">
        <f>IF(F$76='weitere Besondere Leistungen'!$N$32,'weitere Besondere Leistungen'!$L$32,0)</f>
        <v>0</v>
      </c>
      <c r="G89" s="155">
        <f>IF(G$76='weitere Besondere Leistungen'!$N$32,'weitere Besondere Leistungen'!$L$32,0)</f>
        <v>0</v>
      </c>
      <c r="H89" s="155">
        <f>IF(H$76='weitere Besondere Leistungen'!$N$32,'weitere Besondere Leistungen'!$L$32,0)</f>
        <v>0</v>
      </c>
      <c r="I89" s="155">
        <f>IF(I$76='weitere Besondere Leistungen'!$N$32,'weitere Besondere Leistungen'!$L$32,0)</f>
        <v>0</v>
      </c>
      <c r="J89" s="155">
        <f>IF(J$76='weitere Besondere Leistungen'!$N$32,'weitere Besondere Leistungen'!$L$32,0)</f>
        <v>0</v>
      </c>
      <c r="K89" s="156">
        <f>IF(K$76='weitere Besondere Leistungen'!$N$32,'weitere Besondere Leistungen'!$L$32,0)</f>
        <v>0</v>
      </c>
      <c r="X89" s="4"/>
      <c r="Y89" s="3"/>
      <c r="Z89" s="5"/>
    </row>
    <row r="90" spans="2:26" ht="14.55" x14ac:dyDescent="0.3">
      <c r="B90" s="163"/>
      <c r="C90" s="154">
        <f>IF(C$76='weitere Besondere Leistungen'!$N$34,'weitere Besondere Leistungen'!$L$34,0)</f>
        <v>0</v>
      </c>
      <c r="D90" s="155">
        <f>IF(D$76='weitere Besondere Leistungen'!$N$34,'weitere Besondere Leistungen'!$L$34,0)</f>
        <v>0</v>
      </c>
      <c r="E90" s="155">
        <f>IF(E$76='weitere Besondere Leistungen'!$N$34,'weitere Besondere Leistungen'!$L$34,0)</f>
        <v>0</v>
      </c>
      <c r="F90" s="155">
        <f>IF(F$76='weitere Besondere Leistungen'!$N$34,'weitere Besondere Leistungen'!$L$34,0)</f>
        <v>0</v>
      </c>
      <c r="G90" s="155">
        <f>IF(G$76='weitere Besondere Leistungen'!$N$34,'weitere Besondere Leistungen'!$L$34,0)</f>
        <v>0</v>
      </c>
      <c r="H90" s="155">
        <f>IF(H$76='weitere Besondere Leistungen'!$N$34,'weitere Besondere Leistungen'!$L$34,0)</f>
        <v>0</v>
      </c>
      <c r="I90" s="155">
        <f>IF(I$76='weitere Besondere Leistungen'!$N$34,'weitere Besondere Leistungen'!$L$34,0)</f>
        <v>0</v>
      </c>
      <c r="J90" s="155">
        <f>IF(J$76='weitere Besondere Leistungen'!$N$34,'weitere Besondere Leistungen'!$L$34,0)</f>
        <v>0</v>
      </c>
      <c r="K90" s="156">
        <f>IF(K$76='weitere Besondere Leistungen'!$N$34,'weitere Besondere Leistungen'!$L$34,0)</f>
        <v>0</v>
      </c>
      <c r="X90" s="4"/>
      <c r="Y90" s="3"/>
      <c r="Z90" s="5"/>
    </row>
    <row r="91" spans="2:26" ht="14.55" x14ac:dyDescent="0.3">
      <c r="B91" s="163"/>
      <c r="C91" s="154">
        <f>IF(C$76='weitere Besondere Leistungen'!$N$36,'weitere Besondere Leistungen'!$L$36,0)</f>
        <v>0</v>
      </c>
      <c r="D91" s="155">
        <f>IF(D$76='weitere Besondere Leistungen'!$N$36,'weitere Besondere Leistungen'!$L$36,0)</f>
        <v>0</v>
      </c>
      <c r="E91" s="155">
        <f>IF(E$76='weitere Besondere Leistungen'!$N$36,'weitere Besondere Leistungen'!$L$36,0)</f>
        <v>0</v>
      </c>
      <c r="F91" s="155">
        <f>IF(F$76='weitere Besondere Leistungen'!$N$36,'weitere Besondere Leistungen'!$L$36,0)</f>
        <v>0</v>
      </c>
      <c r="G91" s="155">
        <f>IF(G$76='weitere Besondere Leistungen'!$N$36,'weitere Besondere Leistungen'!$L$36,0)</f>
        <v>0</v>
      </c>
      <c r="H91" s="155">
        <f>IF(H$76='weitere Besondere Leistungen'!$N$36,'weitere Besondere Leistungen'!$L$36,0)</f>
        <v>0</v>
      </c>
      <c r="I91" s="155">
        <f>IF(I$76='weitere Besondere Leistungen'!$N$36,'weitere Besondere Leistungen'!$L$36,0)</f>
        <v>0</v>
      </c>
      <c r="J91" s="155">
        <f>IF(J$76='weitere Besondere Leistungen'!$N$36,'weitere Besondere Leistungen'!$L$36,0)</f>
        <v>0</v>
      </c>
      <c r="K91" s="156">
        <f>IF(K$76='weitere Besondere Leistungen'!$N$36,'weitere Besondere Leistungen'!$L$36,0)</f>
        <v>0</v>
      </c>
      <c r="X91" s="4"/>
      <c r="Y91" s="3"/>
      <c r="Z91" s="5"/>
    </row>
    <row r="92" spans="2:26" ht="14.55" x14ac:dyDescent="0.3">
      <c r="B92" s="163"/>
      <c r="C92" s="154">
        <f>IF(C$76='weitere Besondere Leistungen'!$N$38,'weitere Besondere Leistungen'!$L$38,0)</f>
        <v>0</v>
      </c>
      <c r="D92" s="155">
        <f>IF(D$76='weitere Besondere Leistungen'!$N$38,'weitere Besondere Leistungen'!$L$38,0)</f>
        <v>0</v>
      </c>
      <c r="E92" s="155">
        <f>IF(E$76='weitere Besondere Leistungen'!$N$38,'weitere Besondere Leistungen'!$L$38,0)</f>
        <v>0</v>
      </c>
      <c r="F92" s="155">
        <f>IF(F$76='weitere Besondere Leistungen'!$N$38,'weitere Besondere Leistungen'!$L$38,0)</f>
        <v>0</v>
      </c>
      <c r="G92" s="155">
        <f>IF(G$76='weitere Besondere Leistungen'!$N$38,'weitere Besondere Leistungen'!$L$38,0)</f>
        <v>0</v>
      </c>
      <c r="H92" s="155">
        <f>IF(H$76='weitere Besondere Leistungen'!$N$38,'weitere Besondere Leistungen'!$L$38,0)</f>
        <v>0</v>
      </c>
      <c r="I92" s="155">
        <f>IF(I$76='weitere Besondere Leistungen'!$N$38,'weitere Besondere Leistungen'!$L$38,0)</f>
        <v>0</v>
      </c>
      <c r="J92" s="155">
        <f>IF(J$76='weitere Besondere Leistungen'!$N$38,'weitere Besondere Leistungen'!$L$38,0)</f>
        <v>0</v>
      </c>
      <c r="K92" s="156">
        <f>IF(K$76='weitere Besondere Leistungen'!$N$38,'weitere Besondere Leistungen'!$L$38,0)</f>
        <v>0</v>
      </c>
      <c r="X92" s="4"/>
      <c r="Y92" s="3"/>
      <c r="Z92" s="5"/>
    </row>
    <row r="93" spans="2:26" ht="14.55" x14ac:dyDescent="0.3">
      <c r="B93" s="163"/>
      <c r="C93" s="154">
        <f>IF(C$76='weitere Besondere Leistungen'!$N$40,'weitere Besondere Leistungen'!$L$40,0)</f>
        <v>0</v>
      </c>
      <c r="D93" s="155">
        <f>IF(D$76='weitere Besondere Leistungen'!$N$40,'weitere Besondere Leistungen'!$L$40,0)</f>
        <v>0</v>
      </c>
      <c r="E93" s="155">
        <f>IF(E$76='weitere Besondere Leistungen'!$N$40,'weitere Besondere Leistungen'!$L$40,0)</f>
        <v>0</v>
      </c>
      <c r="F93" s="155">
        <f>IF(F$76='weitere Besondere Leistungen'!$N$40,'weitere Besondere Leistungen'!$L$40,0)</f>
        <v>0</v>
      </c>
      <c r="G93" s="155">
        <f>IF(G$76='weitere Besondere Leistungen'!$N$40,'weitere Besondere Leistungen'!$L$40,0)</f>
        <v>0</v>
      </c>
      <c r="H93" s="155">
        <f>IF(H$76='weitere Besondere Leistungen'!$N$40,'weitere Besondere Leistungen'!$L$40,0)</f>
        <v>0</v>
      </c>
      <c r="I93" s="155">
        <f>IF(I$76='weitere Besondere Leistungen'!$N$40,'weitere Besondere Leistungen'!$L$40,0)</f>
        <v>0</v>
      </c>
      <c r="J93" s="155">
        <f>IF(J$76='weitere Besondere Leistungen'!$N$40,'weitere Besondere Leistungen'!$L$40,0)</f>
        <v>0</v>
      </c>
      <c r="K93" s="156">
        <f>IF(K$76='weitere Besondere Leistungen'!$N$40,'weitere Besondere Leistungen'!$L$40,0)</f>
        <v>0</v>
      </c>
      <c r="X93" s="4"/>
      <c r="Y93" s="3"/>
      <c r="Z93" s="5"/>
    </row>
    <row r="94" spans="2:26" ht="14.55" x14ac:dyDescent="0.3">
      <c r="B94" s="163"/>
      <c r="C94" s="154">
        <f>IF(C$76='weitere Besondere Leistungen'!$N$42,'weitere Besondere Leistungen'!$L$42,0)</f>
        <v>0</v>
      </c>
      <c r="D94" s="155">
        <f>IF(D$76='weitere Besondere Leistungen'!$N$42,'weitere Besondere Leistungen'!$L$42,0)</f>
        <v>0</v>
      </c>
      <c r="E94" s="155">
        <f>IF(E$76='weitere Besondere Leistungen'!$N$42,'weitere Besondere Leistungen'!$L$42,0)</f>
        <v>0</v>
      </c>
      <c r="F94" s="155">
        <f>IF(F$76='weitere Besondere Leistungen'!$N$42,'weitere Besondere Leistungen'!$L$42,0)</f>
        <v>0</v>
      </c>
      <c r="G94" s="155">
        <f>IF(G$76='weitere Besondere Leistungen'!$N$42,'weitere Besondere Leistungen'!$L$42,0)</f>
        <v>0</v>
      </c>
      <c r="H94" s="155">
        <f>IF(H$76='weitere Besondere Leistungen'!$N$42,'weitere Besondere Leistungen'!$L$42,0)</f>
        <v>0</v>
      </c>
      <c r="I94" s="155">
        <f>IF(I$76='weitere Besondere Leistungen'!$N$42,'weitere Besondere Leistungen'!$L$42,0)</f>
        <v>0</v>
      </c>
      <c r="J94" s="155">
        <f>IF(J$76='weitere Besondere Leistungen'!$N$42,'weitere Besondere Leistungen'!$L$42,0)</f>
        <v>0</v>
      </c>
      <c r="K94" s="156">
        <f>IF(K$76='weitere Besondere Leistungen'!$N$42,'weitere Besondere Leistungen'!$L$42,0)</f>
        <v>0</v>
      </c>
      <c r="X94" s="4"/>
      <c r="Y94" s="3"/>
      <c r="Z94" s="5"/>
    </row>
    <row r="95" spans="2:26" ht="14.55" x14ac:dyDescent="0.3">
      <c r="B95" s="163"/>
      <c r="C95" s="154">
        <f>IF(C$76='weitere Besondere Leistungen'!$N$44,'weitere Besondere Leistungen'!$L$44,0)</f>
        <v>0</v>
      </c>
      <c r="D95" s="155">
        <f>IF(D$76='weitere Besondere Leistungen'!$N$44,'weitere Besondere Leistungen'!$L$44,0)</f>
        <v>0</v>
      </c>
      <c r="E95" s="155">
        <f>IF(E$76='weitere Besondere Leistungen'!$N$44,'weitere Besondere Leistungen'!$L$44,0)</f>
        <v>0</v>
      </c>
      <c r="F95" s="155">
        <f>IF(F$76='weitere Besondere Leistungen'!$N$44,'weitere Besondere Leistungen'!$L$44,0)</f>
        <v>0</v>
      </c>
      <c r="G95" s="155">
        <f>IF(G$76='weitere Besondere Leistungen'!$N$44,'weitere Besondere Leistungen'!$L$44,0)</f>
        <v>0</v>
      </c>
      <c r="H95" s="155">
        <f>IF(H$76='weitere Besondere Leistungen'!$N$44,'weitere Besondere Leistungen'!$L$44,0)</f>
        <v>0</v>
      </c>
      <c r="I95" s="155">
        <f>IF(I$76='weitere Besondere Leistungen'!$N$44,'weitere Besondere Leistungen'!$L$44,0)</f>
        <v>0</v>
      </c>
      <c r="J95" s="155">
        <f>IF(J$76='weitere Besondere Leistungen'!$N$44,'weitere Besondere Leistungen'!$L$44,0)</f>
        <v>0</v>
      </c>
      <c r="K95" s="156">
        <f>IF(K$76='weitere Besondere Leistungen'!$N$44,'weitere Besondere Leistungen'!$L$44,0)</f>
        <v>0</v>
      </c>
      <c r="X95" s="4"/>
      <c r="Y95" s="3"/>
      <c r="Z95" s="5"/>
    </row>
    <row r="96" spans="2:26" ht="14.55" x14ac:dyDescent="0.3">
      <c r="B96" s="163"/>
      <c r="C96" s="154">
        <f>IF(C$76='weitere Besondere Leistungen'!$N$46,'weitere Besondere Leistungen'!$L$46,0)</f>
        <v>0</v>
      </c>
      <c r="D96" s="155">
        <f>IF(D$76='weitere Besondere Leistungen'!$N$46,'weitere Besondere Leistungen'!$L$46,0)</f>
        <v>0</v>
      </c>
      <c r="E96" s="155">
        <f>IF(E$76='weitere Besondere Leistungen'!$N$46,'weitere Besondere Leistungen'!$L$46,0)</f>
        <v>0</v>
      </c>
      <c r="F96" s="155">
        <f>IF(F$76='weitere Besondere Leistungen'!$N$46,'weitere Besondere Leistungen'!$L$46,0)</f>
        <v>0</v>
      </c>
      <c r="G96" s="155">
        <f>IF(G$76='weitere Besondere Leistungen'!$N$46,'weitere Besondere Leistungen'!$L$46,0)</f>
        <v>0</v>
      </c>
      <c r="H96" s="155">
        <f>IF(H$76='weitere Besondere Leistungen'!$N$46,'weitere Besondere Leistungen'!$L$46,0)</f>
        <v>0</v>
      </c>
      <c r="I96" s="155">
        <f>IF(I$76='weitere Besondere Leistungen'!$N$46,'weitere Besondere Leistungen'!$L$46,0)</f>
        <v>0</v>
      </c>
      <c r="J96" s="155">
        <f>IF(J$76='weitere Besondere Leistungen'!$N$46,'weitere Besondere Leistungen'!$L$46,0)</f>
        <v>0</v>
      </c>
      <c r="K96" s="156">
        <f>IF(K$76='weitere Besondere Leistungen'!$N$46,'weitere Besondere Leistungen'!$L$46,0)</f>
        <v>0</v>
      </c>
      <c r="X96" s="4"/>
      <c r="Y96" s="3"/>
      <c r="Z96" s="5"/>
    </row>
    <row r="97" spans="2:26" ht="14.55" x14ac:dyDescent="0.3">
      <c r="B97" s="163"/>
      <c r="C97" s="154">
        <f>IF(C$76='weitere Besondere Leistungen'!$N$48,'weitere Besondere Leistungen'!$L$48,0)</f>
        <v>0</v>
      </c>
      <c r="D97" s="155">
        <f>IF(D$76='weitere Besondere Leistungen'!$N$48,'weitere Besondere Leistungen'!$L$48,0)</f>
        <v>0</v>
      </c>
      <c r="E97" s="155">
        <f>IF(E$76='weitere Besondere Leistungen'!$N$48,'weitere Besondere Leistungen'!$L$48,0)</f>
        <v>0</v>
      </c>
      <c r="F97" s="155">
        <f>IF(F$76='weitere Besondere Leistungen'!$N$48,'weitere Besondere Leistungen'!$L$48,0)</f>
        <v>0</v>
      </c>
      <c r="G97" s="155">
        <f>IF(G$76='weitere Besondere Leistungen'!$N$48,'weitere Besondere Leistungen'!$L$48,0)</f>
        <v>0</v>
      </c>
      <c r="H97" s="155">
        <f>IF(H$76='weitere Besondere Leistungen'!$N$48,'weitere Besondere Leistungen'!$L$48,0)</f>
        <v>0</v>
      </c>
      <c r="I97" s="155">
        <f>IF(I$76='weitere Besondere Leistungen'!$N$48,'weitere Besondere Leistungen'!$L$48,0)</f>
        <v>0</v>
      </c>
      <c r="J97" s="155">
        <f>IF(J$76='weitere Besondere Leistungen'!$N$48,'weitere Besondere Leistungen'!$L$48,0)</f>
        <v>0</v>
      </c>
      <c r="K97" s="156">
        <f>IF(K$76='weitere Besondere Leistungen'!$N$48,'weitere Besondere Leistungen'!$L$48,0)</f>
        <v>0</v>
      </c>
      <c r="X97" s="4"/>
      <c r="Y97" s="3"/>
      <c r="Z97" s="5"/>
    </row>
    <row r="98" spans="2:26" ht="14.55" x14ac:dyDescent="0.3">
      <c r="B98" s="163"/>
      <c r="C98" s="154">
        <f>IF(C$76='weitere Besondere Leistungen'!$N$50,'weitere Besondere Leistungen'!$L$50,0)</f>
        <v>0</v>
      </c>
      <c r="D98" s="155">
        <f>IF(D$76='weitere Besondere Leistungen'!$N$50,'weitere Besondere Leistungen'!$L$50,0)</f>
        <v>0</v>
      </c>
      <c r="E98" s="155">
        <f>IF(E$76='weitere Besondere Leistungen'!$N$50,'weitere Besondere Leistungen'!$L$50,0)</f>
        <v>0</v>
      </c>
      <c r="F98" s="155">
        <f>IF(F$76='weitere Besondere Leistungen'!$N$50,'weitere Besondere Leistungen'!$L$50,0)</f>
        <v>0</v>
      </c>
      <c r="G98" s="155">
        <f>IF(G$76='weitere Besondere Leistungen'!$N$50,'weitere Besondere Leistungen'!$L$50,0)</f>
        <v>0</v>
      </c>
      <c r="H98" s="155">
        <f>IF(H$76='weitere Besondere Leistungen'!$N$50,'weitere Besondere Leistungen'!$L$50,0)</f>
        <v>0</v>
      </c>
      <c r="I98" s="155">
        <f>IF(I$76='weitere Besondere Leistungen'!$N$50,'weitere Besondere Leistungen'!$L$50,0)</f>
        <v>0</v>
      </c>
      <c r="J98" s="155">
        <f>IF(J$76='weitere Besondere Leistungen'!$N$50,'weitere Besondere Leistungen'!$L$50,0)</f>
        <v>0</v>
      </c>
      <c r="K98" s="156">
        <f>IF(K$76='weitere Besondere Leistungen'!$N$50,'weitere Besondere Leistungen'!$L$50,0)</f>
        <v>0</v>
      </c>
      <c r="X98" s="4"/>
      <c r="Y98" s="3"/>
      <c r="Z98" s="5"/>
    </row>
    <row r="99" spans="2:26" ht="14.55" x14ac:dyDescent="0.3">
      <c r="B99" s="163"/>
      <c r="C99" s="154">
        <f>IF(C$76='weitere Besondere Leistungen'!$N$52,'weitere Besondere Leistungen'!$L$52,0)</f>
        <v>0</v>
      </c>
      <c r="D99" s="155">
        <f>IF(D$76='weitere Besondere Leistungen'!$N$52,'weitere Besondere Leistungen'!$L$52,0)</f>
        <v>0</v>
      </c>
      <c r="E99" s="155">
        <f>IF(E$76='weitere Besondere Leistungen'!$N$52,'weitere Besondere Leistungen'!$L$52,0)</f>
        <v>0</v>
      </c>
      <c r="F99" s="155">
        <f>IF(F$76='weitere Besondere Leistungen'!$N$52,'weitere Besondere Leistungen'!$L$52,0)</f>
        <v>0</v>
      </c>
      <c r="G99" s="155">
        <f>IF(G$76='weitere Besondere Leistungen'!$N$52,'weitere Besondere Leistungen'!$L$52,0)</f>
        <v>0</v>
      </c>
      <c r="H99" s="155">
        <f>IF(H$76='weitere Besondere Leistungen'!$N$52,'weitere Besondere Leistungen'!$L$52,0)</f>
        <v>0</v>
      </c>
      <c r="I99" s="155">
        <f>IF(I$76='weitere Besondere Leistungen'!$N$52,'weitere Besondere Leistungen'!$L$52,0)</f>
        <v>0</v>
      </c>
      <c r="J99" s="155">
        <f>IF(J$76='weitere Besondere Leistungen'!$N$52,'weitere Besondere Leistungen'!$L$52,0)</f>
        <v>0</v>
      </c>
      <c r="K99" s="156">
        <f>IF(K$76='weitere Besondere Leistungen'!$N$52,'weitere Besondere Leistungen'!$L$52,0)</f>
        <v>0</v>
      </c>
      <c r="X99" s="4"/>
      <c r="Y99" s="3"/>
      <c r="Z99" s="5"/>
    </row>
    <row r="100" spans="2:26" ht="14.55" x14ac:dyDescent="0.3">
      <c r="B100" s="163"/>
      <c r="C100" s="154">
        <f>IF(C$76='weitere Besondere Leistungen'!$N$54,'weitere Besondere Leistungen'!$L$54,0)</f>
        <v>0</v>
      </c>
      <c r="D100" s="155">
        <f>IF(D$76='weitere Besondere Leistungen'!$N$54,'weitere Besondere Leistungen'!$L$54,0)</f>
        <v>0</v>
      </c>
      <c r="E100" s="155">
        <f>IF(E$76='weitere Besondere Leistungen'!$N$54,'weitere Besondere Leistungen'!$L$54,0)</f>
        <v>0</v>
      </c>
      <c r="F100" s="155">
        <f>IF(F$76='weitere Besondere Leistungen'!$N$54,'weitere Besondere Leistungen'!$L$54,0)</f>
        <v>0</v>
      </c>
      <c r="G100" s="155">
        <f>IF(G$76='weitere Besondere Leistungen'!$N$54,'weitere Besondere Leistungen'!$L$54,0)</f>
        <v>0</v>
      </c>
      <c r="H100" s="155">
        <f>IF(H$76='weitere Besondere Leistungen'!$N$54,'weitere Besondere Leistungen'!$L$54,0)</f>
        <v>0</v>
      </c>
      <c r="I100" s="155">
        <f>IF(I$76='weitere Besondere Leistungen'!$N$54,'weitere Besondere Leistungen'!$L$54,0)</f>
        <v>0</v>
      </c>
      <c r="J100" s="155">
        <f>IF(J$76='weitere Besondere Leistungen'!$N$54,'weitere Besondere Leistungen'!$L$54,0)</f>
        <v>0</v>
      </c>
      <c r="K100" s="156">
        <f>IF(K$76='weitere Besondere Leistungen'!$N$54,'weitere Besondere Leistungen'!$L$54,0)</f>
        <v>0</v>
      </c>
      <c r="X100" s="4"/>
      <c r="Y100" s="3"/>
      <c r="Z100" s="5"/>
    </row>
    <row r="101" spans="2:26" ht="14.55" x14ac:dyDescent="0.3">
      <c r="B101" s="163"/>
      <c r="C101" s="154">
        <f>IF(C$76='weitere Besondere Leistungen'!$N$60,'weitere Besondere Leistungen'!$L$60,0)</f>
        <v>0</v>
      </c>
      <c r="D101" s="155">
        <f>IF(D$76='weitere Besondere Leistungen'!$N$60,'weitere Besondere Leistungen'!$L$60,0)</f>
        <v>0</v>
      </c>
      <c r="E101" s="155">
        <f>IF(E$76='weitere Besondere Leistungen'!$N$60,'weitere Besondere Leistungen'!$L$60,0)</f>
        <v>0</v>
      </c>
      <c r="F101" s="155">
        <f>IF(F$76='weitere Besondere Leistungen'!$N$60,'weitere Besondere Leistungen'!$L$60,0)</f>
        <v>0</v>
      </c>
      <c r="G101" s="155">
        <f>IF(G$76='weitere Besondere Leistungen'!$N$60,'weitere Besondere Leistungen'!$L$60,0)</f>
        <v>0</v>
      </c>
      <c r="H101" s="155">
        <f>IF(H$76='weitere Besondere Leistungen'!$N$60,'weitere Besondere Leistungen'!$L$60,0)</f>
        <v>0</v>
      </c>
      <c r="I101" s="155">
        <f>IF(I$76='weitere Besondere Leistungen'!$N$60,'weitere Besondere Leistungen'!$L$60,0)</f>
        <v>0</v>
      </c>
      <c r="J101" s="155">
        <f>IF(J$76='weitere Besondere Leistungen'!$N$60,'weitere Besondere Leistungen'!$L$60,0)</f>
        <v>0</v>
      </c>
      <c r="K101" s="156">
        <f>IF(K$76='weitere Besondere Leistungen'!$N$60,'weitere Besondere Leistungen'!$L$60,0)</f>
        <v>0</v>
      </c>
      <c r="X101" s="4"/>
      <c r="Y101" s="3"/>
      <c r="Z101" s="5"/>
    </row>
    <row r="102" spans="2:26" ht="14.55" x14ac:dyDescent="0.3">
      <c r="B102" s="163"/>
      <c r="C102" s="154">
        <f>IF(C$76='weitere Besondere Leistungen'!$N$62,'weitere Besondere Leistungen'!$L$62,0)</f>
        <v>0</v>
      </c>
      <c r="D102" s="155">
        <f>IF(D$76='weitere Besondere Leistungen'!$N$62,'weitere Besondere Leistungen'!$L$62,0)</f>
        <v>0</v>
      </c>
      <c r="E102" s="155">
        <f>IF(E$76='weitere Besondere Leistungen'!$N$62,'weitere Besondere Leistungen'!$L$62,0)</f>
        <v>0</v>
      </c>
      <c r="F102" s="155">
        <f>IF(F$76='weitere Besondere Leistungen'!$N$62,'weitere Besondere Leistungen'!$L$62,0)</f>
        <v>0</v>
      </c>
      <c r="G102" s="155">
        <f>IF(G$76='weitere Besondere Leistungen'!$N$62,'weitere Besondere Leistungen'!$L$62,0)</f>
        <v>0</v>
      </c>
      <c r="H102" s="155">
        <f>IF(H$76='weitere Besondere Leistungen'!$N$62,'weitere Besondere Leistungen'!$L$62,0)</f>
        <v>0</v>
      </c>
      <c r="I102" s="155">
        <f>IF(I$76='weitere Besondere Leistungen'!$N$62,'weitere Besondere Leistungen'!$L$62,0)</f>
        <v>0</v>
      </c>
      <c r="J102" s="155">
        <f>IF(J$76='weitere Besondere Leistungen'!$N$62,'weitere Besondere Leistungen'!$L$62,0)</f>
        <v>0</v>
      </c>
      <c r="K102" s="156">
        <f>IF(K$76='weitere Besondere Leistungen'!$N$62,'weitere Besondere Leistungen'!$L$62,0)</f>
        <v>0</v>
      </c>
      <c r="X102" s="4"/>
      <c r="Y102" s="3"/>
      <c r="Z102" s="5"/>
    </row>
    <row r="103" spans="2:26" ht="14.55" x14ac:dyDescent="0.3">
      <c r="B103" s="163"/>
      <c r="C103" s="154">
        <f>IF(C$76='weitere Besondere Leistungen'!$N$64,'weitere Besondere Leistungen'!$L$64,0)</f>
        <v>0</v>
      </c>
      <c r="D103" s="155">
        <f>IF(D$76='weitere Besondere Leistungen'!$N$64,'weitere Besondere Leistungen'!$L$64,0)</f>
        <v>0</v>
      </c>
      <c r="E103" s="155">
        <f>IF(E$76='weitere Besondere Leistungen'!$N$64,'weitere Besondere Leistungen'!$L$64,0)</f>
        <v>0</v>
      </c>
      <c r="F103" s="155">
        <f>IF(F$76='weitere Besondere Leistungen'!$N$64,'weitere Besondere Leistungen'!$L$64,0)</f>
        <v>0</v>
      </c>
      <c r="G103" s="155">
        <f>IF(G$76='weitere Besondere Leistungen'!$N$64,'weitere Besondere Leistungen'!$L$64,0)</f>
        <v>0</v>
      </c>
      <c r="H103" s="155">
        <f>IF(H$76='weitere Besondere Leistungen'!$N$64,'weitere Besondere Leistungen'!$L$64,0)</f>
        <v>0</v>
      </c>
      <c r="I103" s="155">
        <f>IF(I$76='weitere Besondere Leistungen'!$N$64,'weitere Besondere Leistungen'!$L$64,0)</f>
        <v>0</v>
      </c>
      <c r="J103" s="155">
        <f>IF(J$76='weitere Besondere Leistungen'!$N$64,'weitere Besondere Leistungen'!$L$64,0)</f>
        <v>0</v>
      </c>
      <c r="K103" s="156">
        <f>IF(K$76='weitere Besondere Leistungen'!$N$64,'weitere Besondere Leistungen'!$L$64,0)</f>
        <v>0</v>
      </c>
      <c r="X103" s="4"/>
      <c r="Y103" s="3"/>
      <c r="Z103" s="5"/>
    </row>
    <row r="104" spans="2:26" ht="14.55" x14ac:dyDescent="0.3">
      <c r="B104" s="163"/>
      <c r="C104" s="154">
        <f>IF(C$76='weitere Besondere Leistungen'!$N$66,'weitere Besondere Leistungen'!$L$66,0)</f>
        <v>0</v>
      </c>
      <c r="D104" s="155">
        <f>IF(D$76='weitere Besondere Leistungen'!$N$66,'weitere Besondere Leistungen'!$L$66,0)</f>
        <v>0</v>
      </c>
      <c r="E104" s="155">
        <f>IF(E$76='weitere Besondere Leistungen'!$N$66,'weitere Besondere Leistungen'!$L$66,0)</f>
        <v>0</v>
      </c>
      <c r="F104" s="155">
        <f>IF(F$76='weitere Besondere Leistungen'!$N$66,'weitere Besondere Leistungen'!$L$66,0)</f>
        <v>0</v>
      </c>
      <c r="G104" s="155">
        <f>IF(G$76='weitere Besondere Leistungen'!$N$66,'weitere Besondere Leistungen'!$L$66,0)</f>
        <v>0</v>
      </c>
      <c r="H104" s="155">
        <f>IF(H$76='weitere Besondere Leistungen'!$N$66,'weitere Besondere Leistungen'!$L$66,0)</f>
        <v>0</v>
      </c>
      <c r="I104" s="155">
        <f>IF(I$76='weitere Besondere Leistungen'!$N$66,'weitere Besondere Leistungen'!$L$66,0)</f>
        <v>0</v>
      </c>
      <c r="J104" s="155">
        <f>IF(J$76='weitere Besondere Leistungen'!$N$66,'weitere Besondere Leistungen'!$L$66,0)</f>
        <v>0</v>
      </c>
      <c r="K104" s="156">
        <f>IF(K$76='weitere Besondere Leistungen'!$N$66,'weitere Besondere Leistungen'!$L$66,0)</f>
        <v>0</v>
      </c>
      <c r="X104" s="4"/>
      <c r="Y104" s="3"/>
      <c r="Z104" s="5"/>
    </row>
    <row r="105" spans="2:26" ht="15.2" thickBot="1" x14ac:dyDescent="0.35">
      <c r="B105" s="317"/>
      <c r="C105" s="157">
        <f>IF(C$76='weitere Besondere Leistungen'!$N$68,'weitere Besondere Leistungen'!$L$68,0)</f>
        <v>0</v>
      </c>
      <c r="D105" s="158">
        <f>IF(D$76='weitere Besondere Leistungen'!$N$68,'weitere Besondere Leistungen'!$L$68,0)</f>
        <v>0</v>
      </c>
      <c r="E105" s="158">
        <f>IF(E$76='weitere Besondere Leistungen'!$N$68,'weitere Besondere Leistungen'!$L$68,0)</f>
        <v>0</v>
      </c>
      <c r="F105" s="158">
        <f>IF(F$76='weitere Besondere Leistungen'!$N$68,'weitere Besondere Leistungen'!$L$68,0)</f>
        <v>0</v>
      </c>
      <c r="G105" s="158">
        <f>IF(G$76='weitere Besondere Leistungen'!$N$68,'weitere Besondere Leistungen'!$L$68,0)</f>
        <v>0</v>
      </c>
      <c r="H105" s="158">
        <f>IF(H$76='weitere Besondere Leistungen'!$N$68,'weitere Besondere Leistungen'!$L$68,0)</f>
        <v>0</v>
      </c>
      <c r="I105" s="158">
        <f>IF(I$76='weitere Besondere Leistungen'!$N$68,'weitere Besondere Leistungen'!$L$68,0)</f>
        <v>0</v>
      </c>
      <c r="J105" s="158">
        <f>IF(J$76='weitere Besondere Leistungen'!$N$68,'weitere Besondere Leistungen'!$L$68,0)</f>
        <v>0</v>
      </c>
      <c r="K105" s="159">
        <f>IF(K$76='weitere Besondere Leistungen'!$N$68,'weitere Besondere Leistungen'!$L$68,0)</f>
        <v>0</v>
      </c>
      <c r="X105" s="4"/>
      <c r="Y105" s="3"/>
      <c r="Z105" s="5"/>
    </row>
    <row r="106" spans="2:26" ht="15.2" thickBot="1" x14ac:dyDescent="0.35">
      <c r="B106" s="165"/>
      <c r="C106" s="160">
        <f t="shared" ref="C106:K106" si="0">SUM(C77:C105)</f>
        <v>0</v>
      </c>
      <c r="D106" s="160">
        <f t="shared" si="0"/>
        <v>0</v>
      </c>
      <c r="E106" s="160">
        <f t="shared" si="0"/>
        <v>0</v>
      </c>
      <c r="F106" s="160">
        <f t="shared" si="0"/>
        <v>0</v>
      </c>
      <c r="G106" s="160">
        <f t="shared" si="0"/>
        <v>0</v>
      </c>
      <c r="H106" s="160">
        <f t="shared" si="0"/>
        <v>0</v>
      </c>
      <c r="I106" s="160">
        <f t="shared" si="0"/>
        <v>0</v>
      </c>
      <c r="J106" s="160">
        <f t="shared" si="0"/>
        <v>0</v>
      </c>
      <c r="K106" s="160">
        <f t="shared" si="0"/>
        <v>0</v>
      </c>
      <c r="X106" s="4"/>
      <c r="Y106" s="3"/>
      <c r="Z106" s="5"/>
    </row>
    <row r="107" spans="2:26" ht="14.55" x14ac:dyDescent="0.3">
      <c r="X107" s="4"/>
      <c r="Y107" s="3"/>
      <c r="Z107" s="5"/>
    </row>
    <row r="108" spans="2:26" ht="15.2" thickBot="1" x14ac:dyDescent="0.35">
      <c r="X108" s="4"/>
      <c r="Y108" s="3"/>
      <c r="Z108" s="5"/>
    </row>
    <row r="109" spans="2:26" ht="15.2" thickBot="1" x14ac:dyDescent="0.35">
      <c r="B109" s="1679" t="str">
        <f>'weitere Besondere Leistungen'!B71</f>
        <v xml:space="preserve"> Besondere Leistungen im Zusammenhang mit der Hochbauplanung</v>
      </c>
      <c r="C109" s="1680"/>
      <c r="D109" s="1680"/>
      <c r="E109" s="1680"/>
      <c r="F109" s="1680"/>
      <c r="G109" s="1680"/>
      <c r="H109" s="1680"/>
      <c r="I109" s="1680"/>
      <c r="J109" s="1680"/>
      <c r="K109" s="1681"/>
      <c r="X109" s="4"/>
      <c r="Y109" s="3"/>
      <c r="Z109" s="5"/>
    </row>
    <row r="110" spans="2:26" ht="15.2" thickBot="1" x14ac:dyDescent="0.35">
      <c r="B110" s="290" t="s">
        <v>115</v>
      </c>
      <c r="C110" s="271">
        <v>1</v>
      </c>
      <c r="D110" s="272">
        <v>2</v>
      </c>
      <c r="E110" s="272">
        <v>3</v>
      </c>
      <c r="F110" s="272">
        <v>4</v>
      </c>
      <c r="G110" s="272">
        <v>5</v>
      </c>
      <c r="H110" s="272">
        <v>6</v>
      </c>
      <c r="I110" s="272">
        <v>7</v>
      </c>
      <c r="J110" s="272">
        <v>8</v>
      </c>
      <c r="K110" s="291">
        <v>9</v>
      </c>
      <c r="X110" s="4"/>
      <c r="Y110" s="3"/>
      <c r="Z110" s="5"/>
    </row>
    <row r="111" spans="2:26" ht="14.55" x14ac:dyDescent="0.3">
      <c r="B111" s="161"/>
      <c r="C111" s="151">
        <f>IF(C$110='weitere Besondere Leistungen'!$N$74,'weitere Besondere Leistungen'!$L$74,0)</f>
        <v>0</v>
      </c>
      <c r="D111" s="152">
        <f>IF(D$110='weitere Besondere Leistungen'!$N$74,'weitere Besondere Leistungen'!$L$74,0)</f>
        <v>0</v>
      </c>
      <c r="E111" s="152">
        <f>IF(E$110='weitere Besondere Leistungen'!$N$74,'weitere Besondere Leistungen'!$L$74,0)</f>
        <v>0</v>
      </c>
      <c r="F111" s="152">
        <f>IF(F$110='weitere Besondere Leistungen'!$N$74,'weitere Besondere Leistungen'!$L$74,0)</f>
        <v>0</v>
      </c>
      <c r="G111" s="152">
        <f>IF(G$110='weitere Besondere Leistungen'!$N$74,'weitere Besondere Leistungen'!$L$74,0)</f>
        <v>0</v>
      </c>
      <c r="H111" s="152">
        <f>IF(H$110='weitere Besondere Leistungen'!$N$74,'weitere Besondere Leistungen'!$L$74,0)</f>
        <v>0</v>
      </c>
      <c r="I111" s="152">
        <f>IF(I$110='weitere Besondere Leistungen'!$N$74,'weitere Besondere Leistungen'!$L$74,0)</f>
        <v>0</v>
      </c>
      <c r="J111" s="152">
        <f>IF(J$110='weitere Besondere Leistungen'!$N$74,'weitere Besondere Leistungen'!$L$74,0)</f>
        <v>0</v>
      </c>
      <c r="K111" s="153">
        <f>IF(K$110='weitere Besondere Leistungen'!$N$74,'weitere Besondere Leistungen'!$L$74,0)</f>
        <v>0</v>
      </c>
      <c r="X111" s="4"/>
      <c r="Y111" s="3"/>
      <c r="Z111" s="5"/>
    </row>
    <row r="112" spans="2:26" ht="14.55" x14ac:dyDescent="0.3">
      <c r="B112" s="162"/>
      <c r="C112" s="154">
        <f>IF(C$110='weitere Besondere Leistungen'!$N$76,'weitere Besondere Leistungen'!$L$76,0)</f>
        <v>0</v>
      </c>
      <c r="D112" s="155">
        <f>IF(D$110='weitere Besondere Leistungen'!$N$76,'weitere Besondere Leistungen'!$L$76,0)</f>
        <v>0</v>
      </c>
      <c r="E112" s="155">
        <f>IF(E$110='weitere Besondere Leistungen'!$N$76,'weitere Besondere Leistungen'!$L$76,0)</f>
        <v>0</v>
      </c>
      <c r="F112" s="155">
        <f>IF(F$110='weitere Besondere Leistungen'!$N$76,'weitere Besondere Leistungen'!$L$76,0)</f>
        <v>0</v>
      </c>
      <c r="G112" s="155">
        <f>IF(G$110='weitere Besondere Leistungen'!$N$76,'weitere Besondere Leistungen'!$L$76,0)</f>
        <v>0</v>
      </c>
      <c r="H112" s="155">
        <f>IF(H$110='weitere Besondere Leistungen'!$N$76,'weitere Besondere Leistungen'!$L$76,0)</f>
        <v>0</v>
      </c>
      <c r="I112" s="155">
        <f>IF(I$110='weitere Besondere Leistungen'!$N$76,'weitere Besondere Leistungen'!$L$76,0)</f>
        <v>0</v>
      </c>
      <c r="J112" s="155">
        <f>IF(J$110='weitere Besondere Leistungen'!$N$76,'weitere Besondere Leistungen'!$L$76,0)</f>
        <v>0</v>
      </c>
      <c r="K112" s="156">
        <f>IF(K$110='weitere Besondere Leistungen'!$N$76,'weitere Besondere Leistungen'!$L$76,0)</f>
        <v>0</v>
      </c>
      <c r="X112" s="4"/>
      <c r="Y112" s="3"/>
      <c r="Z112" s="5"/>
    </row>
    <row r="113" spans="2:26" ht="14.55" x14ac:dyDescent="0.3">
      <c r="B113" s="163"/>
      <c r="C113" s="154">
        <f>IF(C$110='weitere Besondere Leistungen'!$N$78,'weitere Besondere Leistungen'!$L$78,0)</f>
        <v>0</v>
      </c>
      <c r="D113" s="155">
        <f>IF(D$110='weitere Besondere Leistungen'!$N$78,'weitere Besondere Leistungen'!$L$78,0)</f>
        <v>0</v>
      </c>
      <c r="E113" s="155">
        <f>IF(E$110='weitere Besondere Leistungen'!$N$78,'weitere Besondere Leistungen'!$L$78,0)</f>
        <v>0</v>
      </c>
      <c r="F113" s="155">
        <f>IF(F$110='weitere Besondere Leistungen'!$N$78,'weitere Besondere Leistungen'!$L$78,0)</f>
        <v>0</v>
      </c>
      <c r="G113" s="155">
        <f>IF(G$110='weitere Besondere Leistungen'!$N$78,'weitere Besondere Leistungen'!$L$78,0)</f>
        <v>0</v>
      </c>
      <c r="H113" s="155">
        <f>IF(H$110='weitere Besondere Leistungen'!$N$78,'weitere Besondere Leistungen'!$L$78,0)</f>
        <v>0</v>
      </c>
      <c r="I113" s="155">
        <f>IF(I$110='weitere Besondere Leistungen'!$N$78,'weitere Besondere Leistungen'!$L$78,0)</f>
        <v>0</v>
      </c>
      <c r="J113" s="155">
        <f>IF(J$110='weitere Besondere Leistungen'!$N$78,'weitere Besondere Leistungen'!$L$78,0)</f>
        <v>0</v>
      </c>
      <c r="K113" s="156">
        <f>IF(K$110='weitere Besondere Leistungen'!$N$78,'weitere Besondere Leistungen'!$L$78,0)</f>
        <v>0</v>
      </c>
      <c r="X113" s="4"/>
      <c r="Y113" s="3"/>
      <c r="Z113" s="5"/>
    </row>
    <row r="114" spans="2:26" ht="14.55" x14ac:dyDescent="0.3">
      <c r="B114" s="163"/>
      <c r="C114" s="154">
        <f>IF(C$110='weitere Besondere Leistungen'!$N$80,'weitere Besondere Leistungen'!$L$80,0)</f>
        <v>0</v>
      </c>
      <c r="D114" s="155">
        <f>IF(D$110='weitere Besondere Leistungen'!$N$80,'weitere Besondere Leistungen'!$L$80,0)</f>
        <v>0</v>
      </c>
      <c r="E114" s="155">
        <f>IF(E$110='weitere Besondere Leistungen'!$N$80,'weitere Besondere Leistungen'!$L$80,0)</f>
        <v>0</v>
      </c>
      <c r="F114" s="155">
        <f>IF(F$110='weitere Besondere Leistungen'!$N$80,'weitere Besondere Leistungen'!$L$80,0)</f>
        <v>0</v>
      </c>
      <c r="G114" s="155">
        <f>IF(G$110='weitere Besondere Leistungen'!$N$80,'weitere Besondere Leistungen'!$L$80,0)</f>
        <v>0</v>
      </c>
      <c r="H114" s="155">
        <f>IF(H$110='weitere Besondere Leistungen'!$N$80,'weitere Besondere Leistungen'!$L$80,0)</f>
        <v>0</v>
      </c>
      <c r="I114" s="155">
        <f>IF(I$110='weitere Besondere Leistungen'!$N$80,'weitere Besondere Leistungen'!$L$80,0)</f>
        <v>0</v>
      </c>
      <c r="J114" s="155">
        <f>IF(J$110='weitere Besondere Leistungen'!$N$80,'weitere Besondere Leistungen'!$L$80,0)</f>
        <v>0</v>
      </c>
      <c r="K114" s="156">
        <f>IF(K$110='weitere Besondere Leistungen'!$N$80,'weitere Besondere Leistungen'!$L$80,0)</f>
        <v>0</v>
      </c>
      <c r="X114" s="4"/>
      <c r="Y114" s="3"/>
      <c r="Z114" s="5"/>
    </row>
    <row r="115" spans="2:26" ht="14.55" x14ac:dyDescent="0.3">
      <c r="B115" s="163"/>
      <c r="C115" s="154">
        <f>IF(C$110='weitere Besondere Leistungen'!$N$82,'weitere Besondere Leistungen'!$L$82,0)</f>
        <v>0</v>
      </c>
      <c r="D115" s="155">
        <f>IF(D$110='weitere Besondere Leistungen'!$N$82,'weitere Besondere Leistungen'!$L$82,0)</f>
        <v>0</v>
      </c>
      <c r="E115" s="155">
        <f>IF(E$110='weitere Besondere Leistungen'!$N$82,'weitere Besondere Leistungen'!$L$82,0)</f>
        <v>0</v>
      </c>
      <c r="F115" s="155">
        <f>IF(F$110='weitere Besondere Leistungen'!$N$82,'weitere Besondere Leistungen'!$L$82,0)</f>
        <v>0</v>
      </c>
      <c r="G115" s="155">
        <f>IF(G$110='weitere Besondere Leistungen'!$N$82,'weitere Besondere Leistungen'!$L$82,0)</f>
        <v>0</v>
      </c>
      <c r="H115" s="155">
        <f>IF(H$110='weitere Besondere Leistungen'!$N$82,'weitere Besondere Leistungen'!$L$82,0)</f>
        <v>0</v>
      </c>
      <c r="I115" s="155">
        <f>IF(I$110='weitere Besondere Leistungen'!$N$82,'weitere Besondere Leistungen'!$L$82,0)</f>
        <v>0</v>
      </c>
      <c r="J115" s="155">
        <f>IF(J$110='weitere Besondere Leistungen'!$N$82,'weitere Besondere Leistungen'!$L$82,0)</f>
        <v>0</v>
      </c>
      <c r="K115" s="156">
        <f>IF(K$110='weitere Besondere Leistungen'!$N$82,'weitere Besondere Leistungen'!$L$82,0)</f>
        <v>0</v>
      </c>
      <c r="X115" s="4"/>
      <c r="Y115" s="3"/>
      <c r="Z115" s="5"/>
    </row>
    <row r="116" spans="2:26" ht="14.55" x14ac:dyDescent="0.3">
      <c r="B116" s="163"/>
      <c r="C116" s="154">
        <f>IF(C$110='weitere Besondere Leistungen'!$N$84,'weitere Besondere Leistungen'!$L$84,0)</f>
        <v>0</v>
      </c>
      <c r="D116" s="155">
        <f>IF(D$110='weitere Besondere Leistungen'!$N$84,'weitere Besondere Leistungen'!$L$84,0)</f>
        <v>0</v>
      </c>
      <c r="E116" s="155">
        <f>IF(E$110='weitere Besondere Leistungen'!$N$84,'weitere Besondere Leistungen'!$L$84,0)</f>
        <v>0</v>
      </c>
      <c r="F116" s="155">
        <f>IF(F$110='weitere Besondere Leistungen'!$N$84,'weitere Besondere Leistungen'!$L$84,0)</f>
        <v>0</v>
      </c>
      <c r="G116" s="155">
        <f>IF(G$110='weitere Besondere Leistungen'!$N$84,'weitere Besondere Leistungen'!$L$84,0)</f>
        <v>0</v>
      </c>
      <c r="H116" s="155">
        <f>IF(H$110='weitere Besondere Leistungen'!$N$84,'weitere Besondere Leistungen'!$L$84,0)</f>
        <v>0</v>
      </c>
      <c r="I116" s="155">
        <f>IF(I$110='weitere Besondere Leistungen'!$N$84,'weitere Besondere Leistungen'!$L$84,0)</f>
        <v>0</v>
      </c>
      <c r="J116" s="155">
        <f>IF(J$110='weitere Besondere Leistungen'!$N$84,'weitere Besondere Leistungen'!$L$84,0)</f>
        <v>0</v>
      </c>
      <c r="K116" s="156">
        <f>IF(K$110='weitere Besondere Leistungen'!$N$84,'weitere Besondere Leistungen'!$L$84,0)</f>
        <v>0</v>
      </c>
      <c r="X116" s="4"/>
      <c r="Y116" s="3"/>
      <c r="Z116" s="5"/>
    </row>
    <row r="117" spans="2:26" ht="14.55" x14ac:dyDescent="0.3">
      <c r="B117" s="163"/>
      <c r="C117" s="154">
        <f>IF(C$110='weitere Besondere Leistungen'!$N$86,'weitere Besondere Leistungen'!$L$86,0)</f>
        <v>0</v>
      </c>
      <c r="D117" s="155">
        <f>IF(D$110='weitere Besondere Leistungen'!$N$86,'weitere Besondere Leistungen'!$L$86,0)</f>
        <v>0</v>
      </c>
      <c r="E117" s="155">
        <f>IF(E$110='weitere Besondere Leistungen'!$N$86,'weitere Besondere Leistungen'!$L$86,0)</f>
        <v>0</v>
      </c>
      <c r="F117" s="155">
        <f>IF(F$110='weitere Besondere Leistungen'!$N$86,'weitere Besondere Leistungen'!$L$86,0)</f>
        <v>0</v>
      </c>
      <c r="G117" s="155">
        <f>IF(G$110='weitere Besondere Leistungen'!$N$86,'weitere Besondere Leistungen'!$L$86,0)</f>
        <v>0</v>
      </c>
      <c r="H117" s="155">
        <f>IF(H$110='weitere Besondere Leistungen'!$N$86,'weitere Besondere Leistungen'!$L$86,0)</f>
        <v>0</v>
      </c>
      <c r="I117" s="155">
        <f>IF(I$110='weitere Besondere Leistungen'!$N$86,'weitere Besondere Leistungen'!$L$86,0)</f>
        <v>0</v>
      </c>
      <c r="J117" s="155">
        <f>IF(J$110='weitere Besondere Leistungen'!$N$86,'weitere Besondere Leistungen'!$L$86,0)</f>
        <v>0</v>
      </c>
      <c r="K117" s="156">
        <f>IF(K$110='weitere Besondere Leistungen'!$N$86,'weitere Besondere Leistungen'!$L$86,0)</f>
        <v>0</v>
      </c>
      <c r="X117" s="4"/>
      <c r="Y117" s="3"/>
      <c r="Z117" s="5"/>
    </row>
    <row r="118" spans="2:26" ht="14.55" x14ac:dyDescent="0.3">
      <c r="B118" s="163"/>
      <c r="C118" s="154">
        <f>IF(C$110='weitere Besondere Leistungen'!$N$88,'weitere Besondere Leistungen'!$L$88,0)</f>
        <v>0</v>
      </c>
      <c r="D118" s="155">
        <f>IF(D$110='weitere Besondere Leistungen'!$N$88,'weitere Besondere Leistungen'!$L$88,0)</f>
        <v>0</v>
      </c>
      <c r="E118" s="155">
        <f>IF(E$110='weitere Besondere Leistungen'!$N$88,'weitere Besondere Leistungen'!$L$88,0)</f>
        <v>0</v>
      </c>
      <c r="F118" s="155">
        <f>IF(F$110='weitere Besondere Leistungen'!$N$88,'weitere Besondere Leistungen'!$L$88,0)</f>
        <v>0</v>
      </c>
      <c r="G118" s="155">
        <f>IF(G$110='weitere Besondere Leistungen'!$N$88,'weitere Besondere Leistungen'!$L$88,0)</f>
        <v>0</v>
      </c>
      <c r="H118" s="155">
        <f>IF(H$110='weitere Besondere Leistungen'!$N$88,'weitere Besondere Leistungen'!$L$88,0)</f>
        <v>0</v>
      </c>
      <c r="I118" s="155">
        <f>IF(I$110='weitere Besondere Leistungen'!$N$88,'weitere Besondere Leistungen'!$L$88,0)</f>
        <v>0</v>
      </c>
      <c r="J118" s="155">
        <f>IF(J$110='weitere Besondere Leistungen'!$N$88,'weitere Besondere Leistungen'!$L$88,0)</f>
        <v>0</v>
      </c>
      <c r="K118" s="156">
        <f>IF(K$110='weitere Besondere Leistungen'!$N$88,'weitere Besondere Leistungen'!$L$88,0)</f>
        <v>0</v>
      </c>
      <c r="X118" s="4"/>
      <c r="Y118" s="3"/>
      <c r="Z118" s="5"/>
    </row>
    <row r="119" spans="2:26" ht="14.55" x14ac:dyDescent="0.3">
      <c r="B119" s="163"/>
      <c r="C119" s="154">
        <f>IF(C$110='weitere Besondere Leistungen'!$N$90,'weitere Besondere Leistungen'!$L$90,0)</f>
        <v>0</v>
      </c>
      <c r="D119" s="155">
        <f>IF(D$110='weitere Besondere Leistungen'!$N$90,'weitere Besondere Leistungen'!$L$90,0)</f>
        <v>0</v>
      </c>
      <c r="E119" s="155">
        <f>IF(E$110='weitere Besondere Leistungen'!$N$90,'weitere Besondere Leistungen'!$L$90,0)</f>
        <v>0</v>
      </c>
      <c r="F119" s="155">
        <f>IF(F$110='weitere Besondere Leistungen'!$N$90,'weitere Besondere Leistungen'!$L$90,0)</f>
        <v>0</v>
      </c>
      <c r="G119" s="155">
        <f>IF(G$110='weitere Besondere Leistungen'!$N$90,'weitere Besondere Leistungen'!$L$90,0)</f>
        <v>0</v>
      </c>
      <c r="H119" s="155">
        <f>IF(H$110='weitere Besondere Leistungen'!$N$90,'weitere Besondere Leistungen'!$L$90,0)</f>
        <v>0</v>
      </c>
      <c r="I119" s="155">
        <f>IF(I$110='weitere Besondere Leistungen'!$N$90,'weitere Besondere Leistungen'!$L$90,0)</f>
        <v>0</v>
      </c>
      <c r="J119" s="155">
        <f>IF(J$110='weitere Besondere Leistungen'!$N$90,'weitere Besondere Leistungen'!$L$90,0)</f>
        <v>0</v>
      </c>
      <c r="K119" s="156">
        <f>IF(K$110='weitere Besondere Leistungen'!$N$90,'weitere Besondere Leistungen'!$L$90,0)</f>
        <v>0</v>
      </c>
      <c r="X119" s="4"/>
      <c r="Y119" s="3"/>
      <c r="Z119" s="5"/>
    </row>
    <row r="120" spans="2:26" ht="14.55" x14ac:dyDescent="0.3">
      <c r="B120" s="163"/>
      <c r="C120" s="154">
        <f>IF(C$110='weitere Besondere Leistungen'!$N$92,'weitere Besondere Leistungen'!$L$92,0)</f>
        <v>0</v>
      </c>
      <c r="D120" s="155">
        <f>IF(D$110='weitere Besondere Leistungen'!$N$92,'weitere Besondere Leistungen'!$L$92,0)</f>
        <v>0</v>
      </c>
      <c r="E120" s="155">
        <f>IF(E$110='weitere Besondere Leistungen'!$N$92,'weitere Besondere Leistungen'!$L$92,0)</f>
        <v>0</v>
      </c>
      <c r="F120" s="155">
        <f>IF(F$110='weitere Besondere Leistungen'!$N$92,'weitere Besondere Leistungen'!$L$92,0)</f>
        <v>0</v>
      </c>
      <c r="G120" s="155">
        <f>IF(G$110='weitere Besondere Leistungen'!$N$92,'weitere Besondere Leistungen'!$L$92,0)</f>
        <v>0</v>
      </c>
      <c r="H120" s="155">
        <f>IF(H$110='weitere Besondere Leistungen'!$N$92,'weitere Besondere Leistungen'!$L$92,0)</f>
        <v>0</v>
      </c>
      <c r="I120" s="155">
        <f>IF(I$110='weitere Besondere Leistungen'!$N$92,'weitere Besondere Leistungen'!$L$92,0)</f>
        <v>0</v>
      </c>
      <c r="J120" s="155">
        <f>IF(J$110='weitere Besondere Leistungen'!$N$92,'weitere Besondere Leistungen'!$L$92,0)</f>
        <v>0</v>
      </c>
      <c r="K120" s="156">
        <f>IF(K$110='weitere Besondere Leistungen'!$N$92,'weitere Besondere Leistungen'!$L$92,0)</f>
        <v>0</v>
      </c>
      <c r="X120" s="4"/>
      <c r="Y120" s="3"/>
      <c r="Z120" s="5"/>
    </row>
    <row r="121" spans="2:26" ht="14.55" x14ac:dyDescent="0.3">
      <c r="B121" s="163"/>
      <c r="C121" s="154">
        <f>IF(C$110='weitere Besondere Leistungen'!$N$94,'weitere Besondere Leistungen'!$L$94,0)</f>
        <v>0</v>
      </c>
      <c r="D121" s="155">
        <f>IF(D$110='weitere Besondere Leistungen'!$N$94,'weitere Besondere Leistungen'!$L$94,0)</f>
        <v>0</v>
      </c>
      <c r="E121" s="155">
        <f>IF(E$110='weitere Besondere Leistungen'!$N$94,'weitere Besondere Leistungen'!$L$94,0)</f>
        <v>0</v>
      </c>
      <c r="F121" s="155">
        <f>IF(F$110='weitere Besondere Leistungen'!$N$94,'weitere Besondere Leistungen'!$L$94,0)</f>
        <v>0</v>
      </c>
      <c r="G121" s="155">
        <f>IF(G$110='weitere Besondere Leistungen'!$N$94,'weitere Besondere Leistungen'!$L$94,0)</f>
        <v>0</v>
      </c>
      <c r="H121" s="155">
        <f>IF(H$110='weitere Besondere Leistungen'!$N$94,'weitere Besondere Leistungen'!$L$94,0)</f>
        <v>0</v>
      </c>
      <c r="I121" s="155">
        <f>IF(I$110='weitere Besondere Leistungen'!$N$94,'weitere Besondere Leistungen'!$L$94,0)</f>
        <v>0</v>
      </c>
      <c r="J121" s="155">
        <f>IF(J$110='weitere Besondere Leistungen'!$N$94,'weitere Besondere Leistungen'!$L$94,0)</f>
        <v>0</v>
      </c>
      <c r="K121" s="156">
        <f>IF(K$110='weitere Besondere Leistungen'!$N$94,'weitere Besondere Leistungen'!$L$94,0)</f>
        <v>0</v>
      </c>
      <c r="X121" s="4"/>
      <c r="Y121" s="3"/>
      <c r="Z121" s="5"/>
    </row>
    <row r="122" spans="2:26" ht="14.55" x14ac:dyDescent="0.3">
      <c r="B122" s="163"/>
      <c r="C122" s="154">
        <f>IF(C$110='weitere Besondere Leistungen'!$N$96,'weitere Besondere Leistungen'!$L$96,0)</f>
        <v>0</v>
      </c>
      <c r="D122" s="155">
        <f>IF(D$110='weitere Besondere Leistungen'!$N$96,'weitere Besondere Leistungen'!$L$96,0)</f>
        <v>0</v>
      </c>
      <c r="E122" s="155">
        <f>IF(E$110='weitere Besondere Leistungen'!$N$96,'weitere Besondere Leistungen'!$L$96,0)</f>
        <v>0</v>
      </c>
      <c r="F122" s="155">
        <f>IF(F$110='weitere Besondere Leistungen'!$N$96,'weitere Besondere Leistungen'!$L$96,0)</f>
        <v>0</v>
      </c>
      <c r="G122" s="155">
        <f>IF(G$110='weitere Besondere Leistungen'!$N$96,'weitere Besondere Leistungen'!$L$96,0)</f>
        <v>0</v>
      </c>
      <c r="H122" s="155">
        <f>IF(H$110='weitere Besondere Leistungen'!$N$96,'weitere Besondere Leistungen'!$L$96,0)</f>
        <v>0</v>
      </c>
      <c r="I122" s="155">
        <f>IF(I$110='weitere Besondere Leistungen'!$N$96,'weitere Besondere Leistungen'!$L$96,0)</f>
        <v>0</v>
      </c>
      <c r="J122" s="155">
        <f>IF(J$110='weitere Besondere Leistungen'!$N$96,'weitere Besondere Leistungen'!$L$96,0)</f>
        <v>0</v>
      </c>
      <c r="K122" s="156">
        <f>IF(K$110='weitere Besondere Leistungen'!$N$96,'weitere Besondere Leistungen'!$L$96,0)</f>
        <v>0</v>
      </c>
      <c r="X122" s="4"/>
      <c r="Y122" s="3"/>
      <c r="Z122" s="5"/>
    </row>
    <row r="123" spans="2:26" ht="14.55" x14ac:dyDescent="0.3">
      <c r="B123" s="163"/>
      <c r="C123" s="154">
        <f>IF(C$110='weitere Besondere Leistungen'!$N$98,'weitere Besondere Leistungen'!$L$98,0)</f>
        <v>0</v>
      </c>
      <c r="D123" s="155">
        <f>IF(D$110='weitere Besondere Leistungen'!$N$98,'weitere Besondere Leistungen'!$L$98,0)</f>
        <v>0</v>
      </c>
      <c r="E123" s="155">
        <f>IF(E$110='weitere Besondere Leistungen'!$N$98,'weitere Besondere Leistungen'!$L$98,0)</f>
        <v>0</v>
      </c>
      <c r="F123" s="155">
        <f>IF(F$110='weitere Besondere Leistungen'!$N$98,'weitere Besondere Leistungen'!$L$98,0)</f>
        <v>0</v>
      </c>
      <c r="G123" s="155">
        <f>IF(G$110='weitere Besondere Leistungen'!$N$98,'weitere Besondere Leistungen'!$L$98,0)</f>
        <v>0</v>
      </c>
      <c r="H123" s="155">
        <f>IF(H$110='weitere Besondere Leistungen'!$N$98,'weitere Besondere Leistungen'!$L$98,0)</f>
        <v>0</v>
      </c>
      <c r="I123" s="155">
        <f>IF(I$110='weitere Besondere Leistungen'!$N$98,'weitere Besondere Leistungen'!$L$98,0)</f>
        <v>0</v>
      </c>
      <c r="J123" s="155">
        <f>IF(J$110='weitere Besondere Leistungen'!$N$98,'weitere Besondere Leistungen'!$L$98,0)</f>
        <v>0</v>
      </c>
      <c r="K123" s="156">
        <f>IF(K$110='weitere Besondere Leistungen'!$N$98,'weitere Besondere Leistungen'!$L$98,0)</f>
        <v>0</v>
      </c>
      <c r="X123" s="4"/>
      <c r="Y123" s="3"/>
      <c r="Z123" s="5"/>
    </row>
    <row r="124" spans="2:26" ht="14.55" x14ac:dyDescent="0.3">
      <c r="B124" s="163"/>
      <c r="C124" s="154">
        <f>IF(C$110='weitere Besondere Leistungen'!$N$100,'weitere Besondere Leistungen'!$L$100,0)</f>
        <v>0</v>
      </c>
      <c r="D124" s="155">
        <f>IF(D$110='weitere Besondere Leistungen'!$N$100,'weitere Besondere Leistungen'!$L$100,0)</f>
        <v>0</v>
      </c>
      <c r="E124" s="155">
        <f>IF(E$110='weitere Besondere Leistungen'!$N$100,'weitere Besondere Leistungen'!$L$100,0)</f>
        <v>0</v>
      </c>
      <c r="F124" s="155">
        <f>IF(F$110='weitere Besondere Leistungen'!$N$100,'weitere Besondere Leistungen'!$L$100,0)</f>
        <v>0</v>
      </c>
      <c r="G124" s="155">
        <f>IF(G$110='weitere Besondere Leistungen'!$N$100,'weitere Besondere Leistungen'!$L$100,0)</f>
        <v>0</v>
      </c>
      <c r="H124" s="155">
        <f>IF(H$110='weitere Besondere Leistungen'!$N$100,'weitere Besondere Leistungen'!$L$100,0)</f>
        <v>0</v>
      </c>
      <c r="I124" s="155">
        <f>IF(I$110='weitere Besondere Leistungen'!$N$100,'weitere Besondere Leistungen'!$L$100,0)</f>
        <v>0</v>
      </c>
      <c r="J124" s="155">
        <f>IF(J$110='weitere Besondere Leistungen'!$N$100,'weitere Besondere Leistungen'!$L$100,0)</f>
        <v>0</v>
      </c>
      <c r="K124" s="156">
        <f>IF(K$110='weitere Besondere Leistungen'!$N$100,'weitere Besondere Leistungen'!$L$100,0)</f>
        <v>0</v>
      </c>
      <c r="X124" s="4"/>
      <c r="Y124" s="3"/>
      <c r="Z124" s="5"/>
    </row>
    <row r="125" spans="2:26" ht="14.55" x14ac:dyDescent="0.3">
      <c r="B125" s="163"/>
      <c r="C125" s="154">
        <f>IF(C$110='weitere Besondere Leistungen'!$N$102,'weitere Besondere Leistungen'!$L$102,0)</f>
        <v>0</v>
      </c>
      <c r="D125" s="155">
        <f>IF(D$110='weitere Besondere Leistungen'!$N$102,'weitere Besondere Leistungen'!$L$102,0)</f>
        <v>0</v>
      </c>
      <c r="E125" s="155">
        <f>IF(E$110='weitere Besondere Leistungen'!$N$102,'weitere Besondere Leistungen'!$L$102,0)</f>
        <v>0</v>
      </c>
      <c r="F125" s="155">
        <f>IF(F$110='weitere Besondere Leistungen'!$N$102,'weitere Besondere Leistungen'!$L$102,0)</f>
        <v>0</v>
      </c>
      <c r="G125" s="155">
        <f>IF(G$110='weitere Besondere Leistungen'!$N$102,'weitere Besondere Leistungen'!$L$102,0)</f>
        <v>0</v>
      </c>
      <c r="H125" s="155">
        <f>IF(H$110='weitere Besondere Leistungen'!$N$102,'weitere Besondere Leistungen'!$L$102,0)</f>
        <v>0</v>
      </c>
      <c r="I125" s="155">
        <f>IF(I$110='weitere Besondere Leistungen'!$N$102,'weitere Besondere Leistungen'!$L$102,0)</f>
        <v>0</v>
      </c>
      <c r="J125" s="155">
        <f>IF(J$110='weitere Besondere Leistungen'!$N$102,'weitere Besondere Leistungen'!$L$102,0)</f>
        <v>0</v>
      </c>
      <c r="K125" s="156">
        <f>IF(K$110='weitere Besondere Leistungen'!$N$102,'weitere Besondere Leistungen'!$L$102,0)</f>
        <v>0</v>
      </c>
      <c r="X125" s="4"/>
      <c r="Y125" s="3"/>
      <c r="Z125" s="5"/>
    </row>
    <row r="126" spans="2:26" ht="14.55" x14ac:dyDescent="0.3">
      <c r="B126" s="163"/>
      <c r="C126" s="154">
        <f>IF(C$110='weitere Besondere Leistungen'!$N$104,'weitere Besondere Leistungen'!$L$104,0)</f>
        <v>0</v>
      </c>
      <c r="D126" s="155">
        <f>IF(D$110='weitere Besondere Leistungen'!$N$104,'weitere Besondere Leistungen'!$L$104,0)</f>
        <v>0</v>
      </c>
      <c r="E126" s="155">
        <f>IF(E$110='weitere Besondere Leistungen'!$N$104,'weitere Besondere Leistungen'!$L$104,0)</f>
        <v>0</v>
      </c>
      <c r="F126" s="155">
        <f>IF(F$110='weitere Besondere Leistungen'!$N$104,'weitere Besondere Leistungen'!$L$104,0)</f>
        <v>0</v>
      </c>
      <c r="G126" s="155">
        <f>IF(G$110='weitere Besondere Leistungen'!$N$104,'weitere Besondere Leistungen'!$L$104,0)</f>
        <v>0</v>
      </c>
      <c r="H126" s="155">
        <f>IF(H$110='weitere Besondere Leistungen'!$N$104,'weitere Besondere Leistungen'!$L$104,0)</f>
        <v>0</v>
      </c>
      <c r="I126" s="155">
        <f>IF(I$110='weitere Besondere Leistungen'!$N$104,'weitere Besondere Leistungen'!$L$104,0)</f>
        <v>0</v>
      </c>
      <c r="J126" s="155">
        <f>IF(J$110='weitere Besondere Leistungen'!$N$104,'weitere Besondere Leistungen'!$L$104,0)</f>
        <v>0</v>
      </c>
      <c r="K126" s="156">
        <f>IF(K$110='weitere Besondere Leistungen'!$N$104,'weitere Besondere Leistungen'!$L$104,0)</f>
        <v>0</v>
      </c>
      <c r="X126" s="4"/>
      <c r="Y126" s="3"/>
      <c r="Z126" s="6"/>
    </row>
    <row r="127" spans="2:26" ht="14.55" x14ac:dyDescent="0.3">
      <c r="B127" s="163"/>
      <c r="C127" s="154">
        <f>IF(C$110='weitere Besondere Leistungen'!$N$106,'weitere Besondere Leistungen'!$L$106,0)</f>
        <v>0</v>
      </c>
      <c r="D127" s="155">
        <f>IF(D$110='weitere Besondere Leistungen'!$N$106,'weitere Besondere Leistungen'!$L$106,0)</f>
        <v>0</v>
      </c>
      <c r="E127" s="155">
        <f>IF(E$110='weitere Besondere Leistungen'!$N$106,'weitere Besondere Leistungen'!$L$106,0)</f>
        <v>0</v>
      </c>
      <c r="F127" s="155">
        <f>IF(F$110='weitere Besondere Leistungen'!$N$106,'weitere Besondere Leistungen'!$L$106,0)</f>
        <v>0</v>
      </c>
      <c r="G127" s="155">
        <f>IF(G$110='weitere Besondere Leistungen'!$N$106,'weitere Besondere Leistungen'!$L$106,0)</f>
        <v>0</v>
      </c>
      <c r="H127" s="155">
        <f>IF(H$110='weitere Besondere Leistungen'!$N$106,'weitere Besondere Leistungen'!$L$106,0)</f>
        <v>0</v>
      </c>
      <c r="I127" s="155">
        <f>IF(I$110='weitere Besondere Leistungen'!$N$106,'weitere Besondere Leistungen'!$L$106,0)</f>
        <v>0</v>
      </c>
      <c r="J127" s="155">
        <f>IF(J$110='weitere Besondere Leistungen'!$N$106,'weitere Besondere Leistungen'!$L$106,0)</f>
        <v>0</v>
      </c>
      <c r="K127" s="156">
        <f>IF(K$110='weitere Besondere Leistungen'!$N$106,'weitere Besondere Leistungen'!$L$106,0)</f>
        <v>0</v>
      </c>
      <c r="X127" s="4"/>
      <c r="Y127" s="3"/>
      <c r="Z127" s="5"/>
    </row>
    <row r="128" spans="2:26" ht="14.55" x14ac:dyDescent="0.3">
      <c r="B128" s="163"/>
      <c r="C128" s="154">
        <f>IF(C$110='weitere Besondere Leistungen'!$N$108,'weitere Besondere Leistungen'!$L$108,0)</f>
        <v>0</v>
      </c>
      <c r="D128" s="155">
        <f>IF(D$110='weitere Besondere Leistungen'!$N$108,'weitere Besondere Leistungen'!$L$108,0)</f>
        <v>0</v>
      </c>
      <c r="E128" s="155">
        <f>IF(E$110='weitere Besondere Leistungen'!$N$108,'weitere Besondere Leistungen'!$L$108,0)</f>
        <v>0</v>
      </c>
      <c r="F128" s="155">
        <f>IF(F$110='weitere Besondere Leistungen'!$N$108,'weitere Besondere Leistungen'!$L$108,0)</f>
        <v>0</v>
      </c>
      <c r="G128" s="155">
        <f>IF(G$110='weitere Besondere Leistungen'!$N$108,'weitere Besondere Leistungen'!$L$108,0)</f>
        <v>0</v>
      </c>
      <c r="H128" s="155">
        <f>IF(H$110='weitere Besondere Leistungen'!$N$108,'weitere Besondere Leistungen'!$L$108,0)</f>
        <v>0</v>
      </c>
      <c r="I128" s="155">
        <f>IF(I$110='weitere Besondere Leistungen'!$N$108,'weitere Besondere Leistungen'!$L$108,0)</f>
        <v>0</v>
      </c>
      <c r="J128" s="155">
        <f>IF(J$110='weitere Besondere Leistungen'!$N$108,'weitere Besondere Leistungen'!$L$108,0)</f>
        <v>0</v>
      </c>
      <c r="K128" s="156">
        <f>IF(K$110='weitere Besondere Leistungen'!$N$108,'weitere Besondere Leistungen'!$L$108,0)</f>
        <v>0</v>
      </c>
      <c r="X128" s="4"/>
      <c r="Y128" s="3"/>
      <c r="Z128" s="5"/>
    </row>
    <row r="129" spans="1:26" ht="14.55" x14ac:dyDescent="0.3">
      <c r="B129" s="163"/>
      <c r="C129" s="154">
        <f>IF(C$110='weitere Besondere Leistungen'!$N$110,'weitere Besondere Leistungen'!$L$110,0)</f>
        <v>0</v>
      </c>
      <c r="D129" s="155">
        <f>IF(D$110='weitere Besondere Leistungen'!$N$110,'weitere Besondere Leistungen'!$L$110,0)</f>
        <v>0</v>
      </c>
      <c r="E129" s="155">
        <f>IF(E$110='weitere Besondere Leistungen'!$N$110,'weitere Besondere Leistungen'!$L$110,0)</f>
        <v>0</v>
      </c>
      <c r="F129" s="155">
        <f>IF(F$110='weitere Besondere Leistungen'!$N$110,'weitere Besondere Leistungen'!$L$110,0)</f>
        <v>0</v>
      </c>
      <c r="G129" s="155">
        <f>IF(G$110='weitere Besondere Leistungen'!$N$110,'weitere Besondere Leistungen'!$L$110,0)</f>
        <v>0</v>
      </c>
      <c r="H129" s="155">
        <f>IF(H$110='weitere Besondere Leistungen'!$N$110,'weitere Besondere Leistungen'!$L$110,0)</f>
        <v>0</v>
      </c>
      <c r="I129" s="155">
        <f>IF(I$110='weitere Besondere Leistungen'!$N$110,'weitere Besondere Leistungen'!$L$110,0)</f>
        <v>0</v>
      </c>
      <c r="J129" s="155">
        <f>IF(J$110='weitere Besondere Leistungen'!$N$110,'weitere Besondere Leistungen'!$L$110,0)</f>
        <v>0</v>
      </c>
      <c r="K129" s="156">
        <f>IF(K$110='weitere Besondere Leistungen'!$N$110,'weitere Besondere Leistungen'!$L$110,0)</f>
        <v>0</v>
      </c>
      <c r="X129" s="4"/>
      <c r="Y129" s="3"/>
      <c r="Z129" s="5"/>
    </row>
    <row r="130" spans="1:26" ht="14.55" x14ac:dyDescent="0.3">
      <c r="B130" s="164"/>
      <c r="C130" s="283">
        <f>IF(C$110='weitere Besondere Leistungen'!$N$112,'weitere Besondere Leistungen'!$L$112,0)</f>
        <v>0</v>
      </c>
      <c r="D130" s="284">
        <f>IF(D$110='weitere Besondere Leistungen'!$N$112,'weitere Besondere Leistungen'!$L$112,0)</f>
        <v>0</v>
      </c>
      <c r="E130" s="284">
        <f>IF(E$110='weitere Besondere Leistungen'!$N$112,'weitere Besondere Leistungen'!$L$112,0)</f>
        <v>0</v>
      </c>
      <c r="F130" s="284">
        <f>IF(F$110='weitere Besondere Leistungen'!$N$112,'weitere Besondere Leistungen'!$L$112,0)</f>
        <v>0</v>
      </c>
      <c r="G130" s="284">
        <f>IF(G$110='weitere Besondere Leistungen'!$N$112,'weitere Besondere Leistungen'!$L$112,0)</f>
        <v>0</v>
      </c>
      <c r="H130" s="284">
        <f>IF(H$110='weitere Besondere Leistungen'!$N$112,'weitere Besondere Leistungen'!$L$112,0)</f>
        <v>0</v>
      </c>
      <c r="I130" s="284">
        <f>IF(I$110='weitere Besondere Leistungen'!$N$112,'weitere Besondere Leistungen'!$L$112,0)</f>
        <v>0</v>
      </c>
      <c r="J130" s="284">
        <f>IF(J$110='weitere Besondere Leistungen'!$N$112,'weitere Besondere Leistungen'!$L$112,0)</f>
        <v>0</v>
      </c>
      <c r="K130" s="285">
        <f>IF(K$110='weitere Besondere Leistungen'!$N$112,'weitere Besondere Leistungen'!$L$112,0)</f>
        <v>0</v>
      </c>
      <c r="X130" s="4"/>
      <c r="Y130" s="3"/>
      <c r="Z130" s="5"/>
    </row>
    <row r="131" spans="1:26" ht="15.2" thickBot="1" x14ac:dyDescent="0.35">
      <c r="B131" s="164"/>
      <c r="C131" s="157">
        <f>IF(C$110='weitere Besondere Leistungen'!$N$114,'weitere Besondere Leistungen'!$L$114,0)</f>
        <v>0</v>
      </c>
      <c r="D131" s="158">
        <f>IF(D$110='weitere Besondere Leistungen'!$N$114,'weitere Besondere Leistungen'!$L$114,0)</f>
        <v>0</v>
      </c>
      <c r="E131" s="158">
        <f>IF(E$110='weitere Besondere Leistungen'!$N$114,'weitere Besondere Leistungen'!$L$114,0)</f>
        <v>0</v>
      </c>
      <c r="F131" s="158">
        <f>IF(F$110='weitere Besondere Leistungen'!$N$114,'weitere Besondere Leistungen'!$L$114,0)</f>
        <v>0</v>
      </c>
      <c r="G131" s="158">
        <f>IF(G$110='weitere Besondere Leistungen'!$N$114,'weitere Besondere Leistungen'!$L$114,0)</f>
        <v>0</v>
      </c>
      <c r="H131" s="158">
        <f>IF(H$110='weitere Besondere Leistungen'!$N$114,'weitere Besondere Leistungen'!$L$114,0)</f>
        <v>0</v>
      </c>
      <c r="I131" s="158">
        <f>IF(I$110='weitere Besondere Leistungen'!$N$114,'weitere Besondere Leistungen'!$L$114,0)</f>
        <v>0</v>
      </c>
      <c r="J131" s="158">
        <f>IF(J$110='weitere Besondere Leistungen'!$N$114,'weitere Besondere Leistungen'!$L$114,0)</f>
        <v>0</v>
      </c>
      <c r="K131" s="159">
        <f>IF(K$110='weitere Besondere Leistungen'!$N$114,'weitere Besondere Leistungen'!$L$114,0)</f>
        <v>0</v>
      </c>
      <c r="X131" s="4"/>
      <c r="Y131" s="3"/>
      <c r="Z131" s="5"/>
    </row>
    <row r="132" spans="1:26" ht="15.2" thickBot="1" x14ac:dyDescent="0.35">
      <c r="B132" s="321" t="s">
        <v>377</v>
      </c>
      <c r="C132" s="320">
        <f>SUM(C111:C131)</f>
        <v>0</v>
      </c>
      <c r="D132" s="318">
        <f t="shared" ref="D132:K132" si="1">SUM(D111:D131)</f>
        <v>0</v>
      </c>
      <c r="E132" s="318">
        <f t="shared" si="1"/>
        <v>0</v>
      </c>
      <c r="F132" s="318">
        <f t="shared" si="1"/>
        <v>0</v>
      </c>
      <c r="G132" s="318">
        <f t="shared" si="1"/>
        <v>0</v>
      </c>
      <c r="H132" s="318">
        <f t="shared" si="1"/>
        <v>0</v>
      </c>
      <c r="I132" s="318">
        <f t="shared" si="1"/>
        <v>0</v>
      </c>
      <c r="J132" s="318">
        <f t="shared" si="1"/>
        <v>0</v>
      </c>
      <c r="K132" s="319">
        <f t="shared" si="1"/>
        <v>0</v>
      </c>
      <c r="X132" s="4"/>
      <c r="Y132" s="3"/>
      <c r="Z132" s="5"/>
    </row>
    <row r="133" spans="1:26" ht="15.2" thickBot="1" x14ac:dyDescent="0.35">
      <c r="A133" s="299"/>
      <c r="B133" s="299"/>
      <c r="C133" s="292"/>
      <c r="D133" s="292"/>
      <c r="E133" s="292"/>
      <c r="F133" s="292"/>
      <c r="G133" s="292"/>
      <c r="H133" s="292"/>
      <c r="I133" s="292"/>
      <c r="J133" s="292"/>
      <c r="K133" s="292"/>
      <c r="X133" s="4"/>
      <c r="Y133" s="3"/>
      <c r="Z133" s="5"/>
    </row>
    <row r="134" spans="1:26" ht="15.2" thickBot="1" x14ac:dyDescent="0.35">
      <c r="C134" s="1638" t="str">
        <f>'weitere Besondere Leistungen'!B117</f>
        <v xml:space="preserve"> Besondere Leistungen im Zusammenhang mit der Tragwerksplanung</v>
      </c>
      <c r="D134" s="1639"/>
      <c r="E134" s="1639"/>
      <c r="F134" s="1639"/>
      <c r="G134" s="1639"/>
      <c r="H134" s="1639"/>
      <c r="I134" s="1639"/>
      <c r="J134" s="1639"/>
      <c r="K134" s="1640"/>
      <c r="X134" s="4"/>
      <c r="Y134" s="3"/>
      <c r="Z134" s="5"/>
    </row>
    <row r="135" spans="1:26" ht="14.55" x14ac:dyDescent="0.3">
      <c r="C135" s="151">
        <f>IF(C$110='weitere Besondere Leistungen'!$N$120,'weitere Besondere Leistungen'!$L$120,0)</f>
        <v>0</v>
      </c>
      <c r="D135" s="152">
        <f>IF(D$110='weitere Besondere Leistungen'!$N$120,'weitere Besondere Leistungen'!$L$120,0)</f>
        <v>0</v>
      </c>
      <c r="E135" s="152">
        <f>IF(E$110='weitere Besondere Leistungen'!$N$120,'weitere Besondere Leistungen'!$L$120,0)</f>
        <v>0</v>
      </c>
      <c r="F135" s="152">
        <f>IF(F$110='weitere Besondere Leistungen'!$N$120,'weitere Besondere Leistungen'!$L$120,0)</f>
        <v>0</v>
      </c>
      <c r="G135" s="152">
        <f>IF(G$110='weitere Besondere Leistungen'!$N$120,'weitere Besondere Leistungen'!$L$120,0)</f>
        <v>0</v>
      </c>
      <c r="H135" s="152">
        <f>IF(H$110='weitere Besondere Leistungen'!$N$120,'weitere Besondere Leistungen'!$L$120,0)</f>
        <v>0</v>
      </c>
      <c r="I135" s="152">
        <f>IF(I$110='weitere Besondere Leistungen'!$N$120,'weitere Besondere Leistungen'!$L$120,0)</f>
        <v>0</v>
      </c>
      <c r="J135" s="152">
        <f>IF(J$110='weitere Besondere Leistungen'!$N$120,'weitere Besondere Leistungen'!$L$120,0)</f>
        <v>0</v>
      </c>
      <c r="K135" s="153">
        <f>IF(K$110='weitere Besondere Leistungen'!$N$120,'weitere Besondere Leistungen'!$L$120,0)</f>
        <v>0</v>
      </c>
      <c r="X135" s="4"/>
      <c r="Y135" s="3"/>
      <c r="Z135" s="5"/>
    </row>
    <row r="136" spans="1:26" ht="14.55" x14ac:dyDescent="0.3">
      <c r="C136" s="154">
        <f>IF(C$110='weitere Besondere Leistungen'!$N$123,'weitere Besondere Leistungen'!$L$123,0)</f>
        <v>0</v>
      </c>
      <c r="D136" s="155">
        <f>IF(D$110='weitere Besondere Leistungen'!$N$123,'weitere Besondere Leistungen'!$L$123,0)</f>
        <v>0</v>
      </c>
      <c r="E136" s="155">
        <f>IF(E$110='weitere Besondere Leistungen'!$N$123,'weitere Besondere Leistungen'!$L$123,0)</f>
        <v>0</v>
      </c>
      <c r="F136" s="155">
        <f>IF(F$110='weitere Besondere Leistungen'!$N$123,'weitere Besondere Leistungen'!$L$123,0)</f>
        <v>0</v>
      </c>
      <c r="G136" s="155">
        <f>IF(G$110='weitere Besondere Leistungen'!$N$123,'weitere Besondere Leistungen'!$L$123,0)</f>
        <v>0</v>
      </c>
      <c r="H136" s="155">
        <f>IF(H$110='weitere Besondere Leistungen'!$N$123,'weitere Besondere Leistungen'!$L$123,0)</f>
        <v>0</v>
      </c>
      <c r="I136" s="155">
        <f>IF(I$110='weitere Besondere Leistungen'!$N$123,'weitere Besondere Leistungen'!$L$123,0)</f>
        <v>0</v>
      </c>
      <c r="J136" s="155">
        <f>IF(J$110='weitere Besondere Leistungen'!$N$123,'weitere Besondere Leistungen'!$L$123,0)</f>
        <v>0</v>
      </c>
      <c r="K136" s="156">
        <f>IF(K$110='weitere Besondere Leistungen'!$N$123,'weitere Besondere Leistungen'!$L$123,0)</f>
        <v>0</v>
      </c>
      <c r="X136" s="4"/>
      <c r="Y136" s="3"/>
      <c r="Z136" s="5"/>
    </row>
    <row r="137" spans="1:26" ht="14.55" x14ac:dyDescent="0.3">
      <c r="C137" s="154">
        <f>IF(C$110='weitere Besondere Leistungen'!$N$125,'weitere Besondere Leistungen'!$L$125,0)</f>
        <v>0</v>
      </c>
      <c r="D137" s="155">
        <f>IF(D$110='weitere Besondere Leistungen'!$N$125,'weitere Besondere Leistungen'!$L$125,0)</f>
        <v>0</v>
      </c>
      <c r="E137" s="155">
        <f>IF(E$110='weitere Besondere Leistungen'!$N$125,'weitere Besondere Leistungen'!$L$125,0)</f>
        <v>0</v>
      </c>
      <c r="F137" s="155">
        <f>IF(F$110='weitere Besondere Leistungen'!$N$125,'weitere Besondere Leistungen'!$L$125,0)</f>
        <v>0</v>
      </c>
      <c r="G137" s="155">
        <f>IF(G$110='weitere Besondere Leistungen'!$N$125,'weitere Besondere Leistungen'!$L$125,0)</f>
        <v>0</v>
      </c>
      <c r="H137" s="155">
        <f>IF(H$110='weitere Besondere Leistungen'!$N$125,'weitere Besondere Leistungen'!$L$125,0)</f>
        <v>0</v>
      </c>
      <c r="I137" s="155">
        <f>IF(I$110='weitere Besondere Leistungen'!$N$125,'weitere Besondere Leistungen'!$L$125,0)</f>
        <v>0</v>
      </c>
      <c r="J137" s="155">
        <f>IF(J$110='weitere Besondere Leistungen'!$N$125,'weitere Besondere Leistungen'!$L$125,0)</f>
        <v>0</v>
      </c>
      <c r="K137" s="156">
        <f>IF(K$110='weitere Besondere Leistungen'!$N$125,'weitere Besondere Leistungen'!$L$125,0)</f>
        <v>0</v>
      </c>
      <c r="X137" s="4"/>
      <c r="Y137" s="3"/>
      <c r="Z137" s="5"/>
    </row>
    <row r="138" spans="1:26" ht="14.55" x14ac:dyDescent="0.3">
      <c r="C138" s="154">
        <f>IF(C$110='weitere Besondere Leistungen'!$N$127,'weitere Besondere Leistungen'!$L$127,0)</f>
        <v>0</v>
      </c>
      <c r="D138" s="155">
        <f>IF(D$110='weitere Besondere Leistungen'!$N$127,'weitere Besondere Leistungen'!$L$127,0)</f>
        <v>0</v>
      </c>
      <c r="E138" s="155">
        <f>IF(E$110='weitere Besondere Leistungen'!$N$127,'weitere Besondere Leistungen'!$L$127,0)</f>
        <v>0</v>
      </c>
      <c r="F138" s="155">
        <f>IF(F$110='weitere Besondere Leistungen'!$N$127,'weitere Besondere Leistungen'!$L$127,0)</f>
        <v>0</v>
      </c>
      <c r="G138" s="155">
        <f>IF(G$110='weitere Besondere Leistungen'!$N$127,'weitere Besondere Leistungen'!$L$127,0)</f>
        <v>0</v>
      </c>
      <c r="H138" s="155">
        <f>IF(H$110='weitere Besondere Leistungen'!$N$127,'weitere Besondere Leistungen'!$L$127,0)</f>
        <v>0</v>
      </c>
      <c r="I138" s="155">
        <f>IF(I$110='weitere Besondere Leistungen'!$N$127,'weitere Besondere Leistungen'!$L$127,0)</f>
        <v>0</v>
      </c>
      <c r="J138" s="155">
        <f>IF(J$110='weitere Besondere Leistungen'!$N$127,'weitere Besondere Leistungen'!$L$127,0)</f>
        <v>0</v>
      </c>
      <c r="K138" s="156">
        <f>IF(K$110='weitere Besondere Leistungen'!$N$127,'weitere Besondere Leistungen'!$L$127,0)</f>
        <v>0</v>
      </c>
      <c r="X138" s="4"/>
      <c r="Y138" s="3"/>
      <c r="Z138" s="5"/>
    </row>
    <row r="139" spans="1:26" ht="14.55" x14ac:dyDescent="0.3">
      <c r="C139" s="154">
        <f>IF(C$110='weitere Besondere Leistungen'!$N$129,'weitere Besondere Leistungen'!$L$129,0)</f>
        <v>0</v>
      </c>
      <c r="D139" s="155">
        <f>IF(D$110='weitere Besondere Leistungen'!$N$129,'weitere Besondere Leistungen'!$L$129,0)</f>
        <v>0</v>
      </c>
      <c r="E139" s="155">
        <f>IF(E$110='weitere Besondere Leistungen'!$N$129,'weitere Besondere Leistungen'!$L$129,0)</f>
        <v>0</v>
      </c>
      <c r="F139" s="155">
        <f>IF(F$110='weitere Besondere Leistungen'!$N$129,'weitere Besondere Leistungen'!$L$129,0)</f>
        <v>0</v>
      </c>
      <c r="G139" s="155">
        <f>IF(G$110='weitere Besondere Leistungen'!$N$129,'weitere Besondere Leistungen'!$L$129,0)</f>
        <v>0</v>
      </c>
      <c r="H139" s="155">
        <f>IF(H$110='weitere Besondere Leistungen'!$N$129,'weitere Besondere Leistungen'!$L$129,0)</f>
        <v>0</v>
      </c>
      <c r="I139" s="155">
        <f>IF(I$110='weitere Besondere Leistungen'!$N$129,'weitere Besondere Leistungen'!$L$129,0)</f>
        <v>0</v>
      </c>
      <c r="J139" s="155">
        <f>IF(J$110='weitere Besondere Leistungen'!$N$129,'weitere Besondere Leistungen'!$L$129,0)</f>
        <v>0</v>
      </c>
      <c r="K139" s="156">
        <f>IF(K$110='weitere Besondere Leistungen'!$N$129,'weitere Besondere Leistungen'!$L$129,0)</f>
        <v>0</v>
      </c>
      <c r="X139" s="4"/>
      <c r="Y139" s="3"/>
      <c r="Z139" s="5"/>
    </row>
    <row r="140" spans="1:26" ht="15.2" thickBot="1" x14ac:dyDescent="0.35">
      <c r="C140" s="157">
        <f>IF(C$110='weitere Besondere Leistungen'!$N$131,'weitere Besondere Leistungen'!$L$131,0)</f>
        <v>0</v>
      </c>
      <c r="D140" s="158">
        <f>IF(D$110='weitere Besondere Leistungen'!$N$131,'weitere Besondere Leistungen'!$L$131,0)</f>
        <v>0</v>
      </c>
      <c r="E140" s="158">
        <f>IF(E$110='weitere Besondere Leistungen'!$N$131,'weitere Besondere Leistungen'!$L$131,0)</f>
        <v>0</v>
      </c>
      <c r="F140" s="158">
        <f>IF(F$110='weitere Besondere Leistungen'!$N$131,'weitere Besondere Leistungen'!$L$131,0)</f>
        <v>0</v>
      </c>
      <c r="G140" s="158">
        <f>IF(G$110='weitere Besondere Leistungen'!$N$131,'weitere Besondere Leistungen'!$L$131,0)</f>
        <v>0</v>
      </c>
      <c r="H140" s="158">
        <f>IF(H$110='weitere Besondere Leistungen'!$N$131,'weitere Besondere Leistungen'!$L$131,0)</f>
        <v>0</v>
      </c>
      <c r="I140" s="158">
        <f>IF(I$110='weitere Besondere Leistungen'!$N$131,'weitere Besondere Leistungen'!$L$131,0)</f>
        <v>0</v>
      </c>
      <c r="J140" s="158">
        <f>IF(J$110='weitere Besondere Leistungen'!$N$131,'weitere Besondere Leistungen'!$L$131,0)</f>
        <v>0</v>
      </c>
      <c r="K140" s="159">
        <f>IF(K$110='weitere Besondere Leistungen'!$N$131,'weitere Besondere Leistungen'!$L$131,0)</f>
        <v>0</v>
      </c>
      <c r="X140" s="4"/>
      <c r="Y140" s="3"/>
      <c r="Z140" s="5"/>
    </row>
    <row r="141" spans="1:26" ht="15.2" thickBot="1" x14ac:dyDescent="0.35">
      <c r="A141" s="1643" t="s">
        <v>377</v>
      </c>
      <c r="B141" s="1643"/>
      <c r="C141" s="293">
        <f t="shared" ref="C141:K141" si="2">SUM(C135:C140)</f>
        <v>0</v>
      </c>
      <c r="D141" s="293">
        <f t="shared" si="2"/>
        <v>0</v>
      </c>
      <c r="E141" s="293">
        <f t="shared" si="2"/>
        <v>0</v>
      </c>
      <c r="F141" s="293">
        <f t="shared" si="2"/>
        <v>0</v>
      </c>
      <c r="G141" s="293">
        <f t="shared" si="2"/>
        <v>0</v>
      </c>
      <c r="H141" s="293">
        <f t="shared" si="2"/>
        <v>0</v>
      </c>
      <c r="I141" s="293">
        <f t="shared" si="2"/>
        <v>0</v>
      </c>
      <c r="J141" s="293">
        <f t="shared" si="2"/>
        <v>0</v>
      </c>
      <c r="K141" s="293">
        <f t="shared" si="2"/>
        <v>0</v>
      </c>
      <c r="X141" s="4"/>
      <c r="Y141" s="3"/>
      <c r="Z141" s="5"/>
    </row>
    <row r="142" spans="1:26" ht="15.2" thickBot="1" x14ac:dyDescent="0.35">
      <c r="C142" s="1638" t="str">
        <f>'weitere Besondere Leistungen'!B134</f>
        <v xml:space="preserve"> Besondere Leistungen im Zusammenhang mit der Freianlagenplanung</v>
      </c>
      <c r="D142" s="1639"/>
      <c r="E142" s="1639"/>
      <c r="F142" s="1639"/>
      <c r="G142" s="1639"/>
      <c r="H142" s="1639"/>
      <c r="I142" s="1639"/>
      <c r="J142" s="1639"/>
      <c r="K142" s="1639"/>
      <c r="X142" s="4"/>
      <c r="Y142" s="3"/>
      <c r="Z142" s="5"/>
    </row>
    <row r="143" spans="1:26" ht="14.55" x14ac:dyDescent="0.3">
      <c r="C143" s="151">
        <f>IF(C$110='weitere Besondere Leistungen'!$N$137,'weitere Besondere Leistungen'!$L$137,0)</f>
        <v>0</v>
      </c>
      <c r="D143" s="152">
        <f>IF(D$110='weitere Besondere Leistungen'!$N$137,'weitere Besondere Leistungen'!$L$137,0)</f>
        <v>0</v>
      </c>
      <c r="E143" s="152">
        <f>IF(E$110='weitere Besondere Leistungen'!$N$137,'weitere Besondere Leistungen'!$L$137,0)</f>
        <v>0</v>
      </c>
      <c r="F143" s="152">
        <f>IF(F$110='weitere Besondere Leistungen'!$N$137,'weitere Besondere Leistungen'!$L$137,0)</f>
        <v>0</v>
      </c>
      <c r="G143" s="152">
        <f>IF(G$110='weitere Besondere Leistungen'!$N$137,'weitere Besondere Leistungen'!$L$137,0)</f>
        <v>0</v>
      </c>
      <c r="H143" s="152">
        <f>IF(H$110='weitere Besondere Leistungen'!$N$137,'weitere Besondere Leistungen'!$L$137,0)</f>
        <v>0</v>
      </c>
      <c r="I143" s="152">
        <f>IF(I$110='weitere Besondere Leistungen'!$N$137,'weitere Besondere Leistungen'!$L$137,0)</f>
        <v>0</v>
      </c>
      <c r="J143" s="152">
        <f>IF(J$110='weitere Besondere Leistungen'!$N$137,'weitere Besondere Leistungen'!$L$137,0)</f>
        <v>0</v>
      </c>
      <c r="K143" s="152">
        <f>IF(K$110='weitere Besondere Leistungen'!$N$137,'weitere Besondere Leistungen'!$L$137,0)</f>
        <v>0</v>
      </c>
      <c r="X143" s="4"/>
      <c r="Y143" s="3"/>
      <c r="Z143" s="5"/>
    </row>
    <row r="144" spans="1:26" ht="14.55" x14ac:dyDescent="0.3">
      <c r="C144" s="154">
        <f>IF(C$110='weitere Besondere Leistungen'!$N$139,'weitere Besondere Leistungen'!$L$139,0)</f>
        <v>0</v>
      </c>
      <c r="D144" s="155">
        <f>IF(D$110='weitere Besondere Leistungen'!$N$139,'weitere Besondere Leistungen'!$L$139,0)</f>
        <v>0</v>
      </c>
      <c r="E144" s="155">
        <f>IF(E$110='weitere Besondere Leistungen'!$N$139,'weitere Besondere Leistungen'!$L$139,0)</f>
        <v>0</v>
      </c>
      <c r="F144" s="155">
        <f>IF(F$110='weitere Besondere Leistungen'!$N$139,'weitere Besondere Leistungen'!$L$139,0)</f>
        <v>0</v>
      </c>
      <c r="G144" s="155">
        <f>IF(G$110='weitere Besondere Leistungen'!$N$139,'weitere Besondere Leistungen'!$L$139,0)</f>
        <v>0</v>
      </c>
      <c r="H144" s="155">
        <f>IF(H$110='weitere Besondere Leistungen'!$N$139,'weitere Besondere Leistungen'!$L$139,0)</f>
        <v>0</v>
      </c>
      <c r="I144" s="155">
        <f>IF(I$110='weitere Besondere Leistungen'!$N$139,'weitere Besondere Leistungen'!$L$139,0)</f>
        <v>0</v>
      </c>
      <c r="J144" s="155">
        <f>IF(J$110='weitere Besondere Leistungen'!$N$139,'weitere Besondere Leistungen'!$L$139,0)</f>
        <v>0</v>
      </c>
      <c r="K144" s="155">
        <f>IF(K$110='weitere Besondere Leistungen'!$N$139,'weitere Besondere Leistungen'!$L$139,0)</f>
        <v>0</v>
      </c>
      <c r="X144" s="4"/>
      <c r="Y144" s="3"/>
      <c r="Z144" s="5"/>
    </row>
    <row r="145" spans="1:26" ht="14.55" x14ac:dyDescent="0.3">
      <c r="C145" s="154">
        <f>IF(C$110='weitere Besondere Leistungen'!$N$141,'weitere Besondere Leistungen'!$L$141,0)</f>
        <v>0</v>
      </c>
      <c r="D145" s="155">
        <f>IF(D$110='weitere Besondere Leistungen'!$N$141,'weitere Besondere Leistungen'!$L$141,0)</f>
        <v>0</v>
      </c>
      <c r="E145" s="155">
        <f>IF(E$110='weitere Besondere Leistungen'!$N$141,'weitere Besondere Leistungen'!$L$141,0)</f>
        <v>0</v>
      </c>
      <c r="F145" s="155">
        <f>IF(F$110='weitere Besondere Leistungen'!$N$141,'weitere Besondere Leistungen'!$L$141,0)</f>
        <v>0</v>
      </c>
      <c r="G145" s="155">
        <f>IF(G$110='weitere Besondere Leistungen'!$N$141,'weitere Besondere Leistungen'!$L$141,0)</f>
        <v>0</v>
      </c>
      <c r="H145" s="155">
        <f>IF(H$110='weitere Besondere Leistungen'!$N$141,'weitere Besondere Leistungen'!$L$141,0)</f>
        <v>0</v>
      </c>
      <c r="I145" s="155">
        <f>IF(I$110='weitere Besondere Leistungen'!$N$141,'weitere Besondere Leistungen'!$L$141,0)</f>
        <v>0</v>
      </c>
      <c r="J145" s="155">
        <f>IF(J$110='weitere Besondere Leistungen'!$N$141,'weitere Besondere Leistungen'!$L$141,0)</f>
        <v>0</v>
      </c>
      <c r="K145" s="155">
        <f>IF(K$110='weitere Besondere Leistungen'!$N$141,'weitere Besondere Leistungen'!$L$141,0)</f>
        <v>0</v>
      </c>
      <c r="X145" s="4"/>
      <c r="Y145" s="3"/>
      <c r="Z145" s="5"/>
    </row>
    <row r="146" spans="1:26" ht="15.2" thickBot="1" x14ac:dyDescent="0.35">
      <c r="C146" s="157">
        <f>IF(C$110='weitere Besondere Leistungen'!$N$143,'weitere Besondere Leistungen'!$L$143,0)</f>
        <v>0</v>
      </c>
      <c r="D146" s="158">
        <f>IF(D$110='weitere Besondere Leistungen'!$N$143,'weitere Besondere Leistungen'!$L$143,0)</f>
        <v>0</v>
      </c>
      <c r="E146" s="158">
        <f>IF(E$110='weitere Besondere Leistungen'!$N$143,'weitere Besondere Leistungen'!$L$143,0)</f>
        <v>0</v>
      </c>
      <c r="F146" s="158">
        <f>IF(F$110='weitere Besondere Leistungen'!$N$143,'weitere Besondere Leistungen'!$L$143,0)</f>
        <v>0</v>
      </c>
      <c r="G146" s="158">
        <f>IF(G$110='weitere Besondere Leistungen'!$N$143,'weitere Besondere Leistungen'!$L$143,0)</f>
        <v>0</v>
      </c>
      <c r="H146" s="158">
        <f>IF(H$110='weitere Besondere Leistungen'!$N$143,'weitere Besondere Leistungen'!$L$143,0)</f>
        <v>0</v>
      </c>
      <c r="I146" s="158">
        <f>IF(I$110='weitere Besondere Leistungen'!$N$143,'weitere Besondere Leistungen'!$L$143,0)</f>
        <v>0</v>
      </c>
      <c r="J146" s="158">
        <f>IF(J$110='weitere Besondere Leistungen'!$N$143,'weitere Besondere Leistungen'!$L$143,0)</f>
        <v>0</v>
      </c>
      <c r="K146" s="158">
        <f>IF(K$110='weitere Besondere Leistungen'!$N$143,'weitere Besondere Leistungen'!$L$143,0)</f>
        <v>0</v>
      </c>
      <c r="X146" s="4"/>
      <c r="Y146" s="3"/>
      <c r="Z146" s="5"/>
    </row>
    <row r="147" spans="1:26" ht="15.2" thickBot="1" x14ac:dyDescent="0.35">
      <c r="A147" s="1643" t="s">
        <v>377</v>
      </c>
      <c r="B147" s="1643"/>
      <c r="C147" s="292">
        <f t="shared" ref="C147:K147" si="3">SUM(C143:C146)</f>
        <v>0</v>
      </c>
      <c r="D147" s="292">
        <f t="shared" si="3"/>
        <v>0</v>
      </c>
      <c r="E147" s="292">
        <f t="shared" si="3"/>
        <v>0</v>
      </c>
      <c r="F147" s="292">
        <f t="shared" si="3"/>
        <v>0</v>
      </c>
      <c r="G147" s="292">
        <f t="shared" si="3"/>
        <v>0</v>
      </c>
      <c r="H147" s="292">
        <f t="shared" si="3"/>
        <v>0</v>
      </c>
      <c r="I147" s="292">
        <f t="shared" si="3"/>
        <v>0</v>
      </c>
      <c r="J147" s="292">
        <f t="shared" si="3"/>
        <v>0</v>
      </c>
      <c r="K147" s="292">
        <f t="shared" si="3"/>
        <v>0</v>
      </c>
      <c r="X147" s="4"/>
      <c r="Y147" s="3"/>
      <c r="Z147" s="5"/>
    </row>
    <row r="148" spans="1:26" ht="15.2" thickBot="1" x14ac:dyDescent="0.35">
      <c r="C148" s="1638" t="str">
        <f>'weitere Besondere Leistungen'!B146</f>
        <v xml:space="preserve"> Besondere Leistungen im Zusammenhang mit der Technischen Ausrüstung</v>
      </c>
      <c r="D148" s="1639"/>
      <c r="E148" s="1639"/>
      <c r="F148" s="1639"/>
      <c r="G148" s="1639"/>
      <c r="H148" s="1639"/>
      <c r="I148" s="1639"/>
      <c r="J148" s="1639"/>
      <c r="K148" s="1640"/>
      <c r="X148" s="4"/>
      <c r="Y148" s="3"/>
      <c r="Z148" s="5"/>
    </row>
    <row r="149" spans="1:26" ht="14.55" x14ac:dyDescent="0.3">
      <c r="C149" s="151">
        <f>IF(C$110='weitere Besondere Leistungen'!$N$149,'weitere Besondere Leistungen'!$L$149,0)</f>
        <v>0</v>
      </c>
      <c r="D149" s="152">
        <f>IF(D$110='weitere Besondere Leistungen'!$N$149,'weitere Besondere Leistungen'!$L$149,0)</f>
        <v>0</v>
      </c>
      <c r="E149" s="152">
        <f>IF(E$110='weitere Besondere Leistungen'!$N$149,'weitere Besondere Leistungen'!$L$149,0)</f>
        <v>0</v>
      </c>
      <c r="F149" s="152">
        <f>IF(F$110='weitere Besondere Leistungen'!$N$149,'weitere Besondere Leistungen'!$L$149,0)</f>
        <v>0</v>
      </c>
      <c r="G149" s="152">
        <f>IF(G$110='weitere Besondere Leistungen'!$N$149,'weitere Besondere Leistungen'!$L$149,0)</f>
        <v>0</v>
      </c>
      <c r="H149" s="152">
        <f>IF(H$110='weitere Besondere Leistungen'!$N$149,'weitere Besondere Leistungen'!$L$149,0)</f>
        <v>0</v>
      </c>
      <c r="I149" s="152">
        <f>IF(I$110='weitere Besondere Leistungen'!$N$149,'weitere Besondere Leistungen'!$L$149,0)</f>
        <v>0</v>
      </c>
      <c r="J149" s="152">
        <f>IF(J$110='weitere Besondere Leistungen'!$N$149,'weitere Besondere Leistungen'!$L$149,0)</f>
        <v>0</v>
      </c>
      <c r="K149" s="153">
        <f>IF(K$110='weitere Besondere Leistungen'!$N$149,'weitere Besondere Leistungen'!$L$149,0)</f>
        <v>0</v>
      </c>
      <c r="X149" s="4"/>
      <c r="Y149" s="3"/>
      <c r="Z149" s="5"/>
    </row>
    <row r="150" spans="1:26" ht="14.55" x14ac:dyDescent="0.3">
      <c r="C150" s="154">
        <f>IF(C$110='weitere Besondere Leistungen'!$N$152,'weitere Besondere Leistungen'!$L$152,0)</f>
        <v>0</v>
      </c>
      <c r="D150" s="155">
        <f>IF(D$110='weitere Besondere Leistungen'!$N$152,'weitere Besondere Leistungen'!$L$152,0)</f>
        <v>0</v>
      </c>
      <c r="E150" s="155">
        <f>IF(E$110='weitere Besondere Leistungen'!$N$152,'weitere Besondere Leistungen'!$L$152,0)</f>
        <v>0</v>
      </c>
      <c r="F150" s="155">
        <f>IF(F$110='weitere Besondere Leistungen'!$N$152,'weitere Besondere Leistungen'!$L$152,0)</f>
        <v>0</v>
      </c>
      <c r="G150" s="155">
        <f>IF(G$110='weitere Besondere Leistungen'!$N$152,'weitere Besondere Leistungen'!$L$152,0)</f>
        <v>0</v>
      </c>
      <c r="H150" s="155">
        <f>IF(H$110='weitere Besondere Leistungen'!$N$152,'weitere Besondere Leistungen'!$L$152,0)</f>
        <v>0</v>
      </c>
      <c r="I150" s="155">
        <f>IF(I$110='weitere Besondere Leistungen'!$N$152,'weitere Besondere Leistungen'!$L$152,0)</f>
        <v>0</v>
      </c>
      <c r="J150" s="155">
        <f>IF(J$110='weitere Besondere Leistungen'!$N$152,'weitere Besondere Leistungen'!$L$152,0)</f>
        <v>0</v>
      </c>
      <c r="K150" s="156">
        <f>IF(K$110='weitere Besondere Leistungen'!$N$152,'weitere Besondere Leistungen'!$L$152,0)</f>
        <v>0</v>
      </c>
      <c r="X150" s="4"/>
      <c r="Y150" s="3"/>
      <c r="Z150" s="5"/>
    </row>
    <row r="151" spans="1:26" ht="14.55" x14ac:dyDescent="0.3">
      <c r="C151" s="154">
        <f>IF(C$110='weitere Besondere Leistungen'!$N$154,'weitere Besondere Leistungen'!$L$154,0)</f>
        <v>0</v>
      </c>
      <c r="D151" s="155">
        <f>IF(D$110='weitere Besondere Leistungen'!$N$154,'weitere Besondere Leistungen'!$L$154,0)</f>
        <v>0</v>
      </c>
      <c r="E151" s="155">
        <f>IF(E$110='weitere Besondere Leistungen'!$N$154,'weitere Besondere Leistungen'!$L$154,0)</f>
        <v>0</v>
      </c>
      <c r="F151" s="155">
        <f>IF(F$110='weitere Besondere Leistungen'!$N$154,'weitere Besondere Leistungen'!$L$154,0)</f>
        <v>0</v>
      </c>
      <c r="G151" s="155">
        <f>IF(G$110='weitere Besondere Leistungen'!$N$154,'weitere Besondere Leistungen'!$L$154,0)</f>
        <v>0</v>
      </c>
      <c r="H151" s="155">
        <f>IF(H$110='weitere Besondere Leistungen'!$N$154,'weitere Besondere Leistungen'!$L$154,0)</f>
        <v>0</v>
      </c>
      <c r="I151" s="155">
        <f>IF(I$110='weitere Besondere Leistungen'!$N$154,'weitere Besondere Leistungen'!$L$154,0)</f>
        <v>0</v>
      </c>
      <c r="J151" s="155">
        <f>IF(J$110='weitere Besondere Leistungen'!$N$154,'weitere Besondere Leistungen'!$L$154,0)</f>
        <v>0</v>
      </c>
      <c r="K151" s="156">
        <f>IF(K$110='weitere Besondere Leistungen'!$N$154,'weitere Besondere Leistungen'!$L$154,0)</f>
        <v>0</v>
      </c>
      <c r="X151" s="4"/>
      <c r="Y151" s="3"/>
      <c r="Z151" s="5"/>
    </row>
    <row r="152" spans="1:26" ht="14.55" x14ac:dyDescent="0.3">
      <c r="C152" s="154">
        <f>IF(C$110='weitere Besondere Leistungen'!$N$156,'weitere Besondere Leistungen'!$L$156,0)</f>
        <v>0</v>
      </c>
      <c r="D152" s="155">
        <f>IF(D$110='weitere Besondere Leistungen'!$N$156,'weitere Besondere Leistungen'!$L$156,0)</f>
        <v>0</v>
      </c>
      <c r="E152" s="155">
        <f>IF(E$110='weitere Besondere Leistungen'!$N$156,'weitere Besondere Leistungen'!$L$156,0)</f>
        <v>0</v>
      </c>
      <c r="F152" s="155">
        <f>IF(F$110='weitere Besondere Leistungen'!$N$156,'weitere Besondere Leistungen'!$L$156,0)</f>
        <v>0</v>
      </c>
      <c r="G152" s="155">
        <f>IF(G$110='weitere Besondere Leistungen'!$N$156,'weitere Besondere Leistungen'!$L$156,0)</f>
        <v>0</v>
      </c>
      <c r="H152" s="155">
        <f>IF(H$110='weitere Besondere Leistungen'!$N$156,'weitere Besondere Leistungen'!$L$156,0)</f>
        <v>0</v>
      </c>
      <c r="I152" s="155">
        <f>IF(I$110='weitere Besondere Leistungen'!$N$156,'weitere Besondere Leistungen'!$L$156,0)</f>
        <v>0</v>
      </c>
      <c r="J152" s="155">
        <f>IF(J$110='weitere Besondere Leistungen'!$N$156,'weitere Besondere Leistungen'!$L$156,0)</f>
        <v>0</v>
      </c>
      <c r="K152" s="156">
        <f>IF(K$110='weitere Besondere Leistungen'!$N$156,'weitere Besondere Leistungen'!$L$156,0)</f>
        <v>0</v>
      </c>
      <c r="X152" s="4"/>
      <c r="Y152" s="3"/>
      <c r="Z152" s="5"/>
    </row>
    <row r="153" spans="1:26" ht="14.55" x14ac:dyDescent="0.3">
      <c r="C153" s="154">
        <f>IF(C$110='weitere Besondere Leistungen'!$N$158,'weitere Besondere Leistungen'!$L$158,0)</f>
        <v>0</v>
      </c>
      <c r="D153" s="155">
        <f>IF(D$110='weitere Besondere Leistungen'!$N$158,'weitere Besondere Leistungen'!$L$158,0)</f>
        <v>0</v>
      </c>
      <c r="E153" s="155">
        <f>IF(E$110='weitere Besondere Leistungen'!$N$158,'weitere Besondere Leistungen'!$L$158,0)</f>
        <v>0</v>
      </c>
      <c r="F153" s="155">
        <f>IF(F$110='weitere Besondere Leistungen'!$N$158,'weitere Besondere Leistungen'!$L$158,0)</f>
        <v>0</v>
      </c>
      <c r="G153" s="155">
        <f>IF(G$110='weitere Besondere Leistungen'!$N$158,'weitere Besondere Leistungen'!$L$158,0)</f>
        <v>0</v>
      </c>
      <c r="H153" s="155">
        <f>IF(H$110='weitere Besondere Leistungen'!$N$158,'weitere Besondere Leistungen'!$L$158,0)</f>
        <v>0</v>
      </c>
      <c r="I153" s="155">
        <f>IF(I$110='weitere Besondere Leistungen'!$N$158,'weitere Besondere Leistungen'!$L$158,0)</f>
        <v>0</v>
      </c>
      <c r="J153" s="155">
        <f>IF(J$110='weitere Besondere Leistungen'!$N$158,'weitere Besondere Leistungen'!$L$158,0)</f>
        <v>0</v>
      </c>
      <c r="K153" s="156">
        <f>IF(K$110='weitere Besondere Leistungen'!$N$158,'weitere Besondere Leistungen'!$L$158,0)</f>
        <v>0</v>
      </c>
      <c r="X153" s="4"/>
      <c r="Y153" s="3"/>
      <c r="Z153" s="5"/>
    </row>
    <row r="154" spans="1:26" ht="14.55" x14ac:dyDescent="0.3">
      <c r="C154" s="154">
        <f>IF(C$110='weitere Besondere Leistungen'!$N$160,'weitere Besondere Leistungen'!$L$160,0)</f>
        <v>0</v>
      </c>
      <c r="D154" s="155">
        <f>IF(D$110='weitere Besondere Leistungen'!$N$160,'weitere Besondere Leistungen'!$L$160,0)</f>
        <v>0</v>
      </c>
      <c r="E154" s="155">
        <f>IF(E$110='weitere Besondere Leistungen'!$N$160,'weitere Besondere Leistungen'!$L$160,0)</f>
        <v>0</v>
      </c>
      <c r="F154" s="155">
        <f>IF(F$110='weitere Besondere Leistungen'!$N$160,'weitere Besondere Leistungen'!$L$160,0)</f>
        <v>0</v>
      </c>
      <c r="G154" s="155">
        <f>IF(G$110='weitere Besondere Leistungen'!$N$160,'weitere Besondere Leistungen'!$L$160,0)</f>
        <v>0</v>
      </c>
      <c r="H154" s="155">
        <f>IF(H$110='weitere Besondere Leistungen'!$N$160,'weitere Besondere Leistungen'!$L$160,0)</f>
        <v>0</v>
      </c>
      <c r="I154" s="155">
        <f>IF(I$110='weitere Besondere Leistungen'!$N$160,'weitere Besondere Leistungen'!$L$160,0)</f>
        <v>0</v>
      </c>
      <c r="J154" s="155">
        <f>IF(J$110='weitere Besondere Leistungen'!$N$160,'weitere Besondere Leistungen'!$L$160,0)</f>
        <v>0</v>
      </c>
      <c r="K154" s="156">
        <f>IF(K$110='weitere Besondere Leistungen'!$N$160,'weitere Besondere Leistungen'!$L$160,0)</f>
        <v>0</v>
      </c>
      <c r="X154" s="4"/>
      <c r="Y154" s="3"/>
      <c r="Z154" s="5"/>
    </row>
    <row r="155" spans="1:26" ht="15.2" thickBot="1" x14ac:dyDescent="0.35">
      <c r="C155" s="157">
        <f>IF(C$110='weitere Besondere Leistungen'!$N$162,'weitere Besondere Leistungen'!$L$162,0)</f>
        <v>0</v>
      </c>
      <c r="D155" s="158">
        <f>IF(D$110='weitere Besondere Leistungen'!$N$162,'weitere Besondere Leistungen'!$L$162,0)</f>
        <v>0</v>
      </c>
      <c r="E155" s="158">
        <f>IF(E$110='weitere Besondere Leistungen'!$N$162,'weitere Besondere Leistungen'!$L$162,0)</f>
        <v>0</v>
      </c>
      <c r="F155" s="158">
        <f>IF(F$110='weitere Besondere Leistungen'!$N$162,'weitere Besondere Leistungen'!$L$162,0)</f>
        <v>0</v>
      </c>
      <c r="G155" s="158">
        <f>IF(G$110='weitere Besondere Leistungen'!$N$162,'weitere Besondere Leistungen'!$L$162,0)</f>
        <v>0</v>
      </c>
      <c r="H155" s="158">
        <f>IF(H$110='weitere Besondere Leistungen'!$N$162,'weitere Besondere Leistungen'!$L$162,0)</f>
        <v>0</v>
      </c>
      <c r="I155" s="158">
        <f>IF(I$110='weitere Besondere Leistungen'!$N$162,'weitere Besondere Leistungen'!$L$162,0)</f>
        <v>0</v>
      </c>
      <c r="J155" s="158">
        <f>IF(J$110='weitere Besondere Leistungen'!$N$162,'weitere Besondere Leistungen'!$L$162,0)</f>
        <v>0</v>
      </c>
      <c r="K155" s="159">
        <f>IF(K$110='weitere Besondere Leistungen'!$N$162,'weitere Besondere Leistungen'!$L$162,0)</f>
        <v>0</v>
      </c>
      <c r="X155" s="4"/>
      <c r="Y155" s="3"/>
      <c r="Z155" s="5"/>
    </row>
    <row r="156" spans="1:26" ht="15.2" thickBot="1" x14ac:dyDescent="0.35">
      <c r="A156" s="1643" t="s">
        <v>377</v>
      </c>
      <c r="B156" s="1643"/>
      <c r="C156" s="294">
        <f t="shared" ref="C156:K156" si="4">SUM(C149:C155)</f>
        <v>0</v>
      </c>
      <c r="D156" s="294">
        <f t="shared" si="4"/>
        <v>0</v>
      </c>
      <c r="E156" s="294">
        <f t="shared" si="4"/>
        <v>0</v>
      </c>
      <c r="F156" s="294">
        <f t="shared" si="4"/>
        <v>0</v>
      </c>
      <c r="G156" s="294">
        <f t="shared" si="4"/>
        <v>0</v>
      </c>
      <c r="H156" s="294">
        <f t="shared" si="4"/>
        <v>0</v>
      </c>
      <c r="I156" s="294">
        <f t="shared" si="4"/>
        <v>0</v>
      </c>
      <c r="J156" s="294">
        <f t="shared" si="4"/>
        <v>0</v>
      </c>
      <c r="K156" s="294">
        <f t="shared" si="4"/>
        <v>0</v>
      </c>
      <c r="X156" s="4"/>
      <c r="Y156" s="3"/>
      <c r="Z156" s="5"/>
    </row>
    <row r="157" spans="1:26" ht="15.2" thickBot="1" x14ac:dyDescent="0.35">
      <c r="A157" s="299"/>
      <c r="B157" s="299"/>
      <c r="C157" s="1638" t="str">
        <f>'weitere Besondere Leistungen'!B165</f>
        <v xml:space="preserve"> Besondere Leistungen im Zusammenhang mit der Bauphysik</v>
      </c>
      <c r="D157" s="1639"/>
      <c r="E157" s="1639"/>
      <c r="F157" s="1639"/>
      <c r="G157" s="1639"/>
      <c r="H157" s="1639"/>
      <c r="I157" s="1639"/>
      <c r="J157" s="1639"/>
      <c r="K157" s="1640"/>
      <c r="X157" s="4"/>
      <c r="Y157" s="3"/>
      <c r="Z157" s="5"/>
    </row>
    <row r="158" spans="1:26" ht="14.55" x14ac:dyDescent="0.3">
      <c r="A158" s="299"/>
      <c r="B158" s="299"/>
      <c r="C158" s="151">
        <f>IF(C$110='weitere Besondere Leistungen'!$N$168,'weitere Besondere Leistungen'!$L$168,0)</f>
        <v>0</v>
      </c>
      <c r="D158" s="152">
        <f>IF(D$110='weitere Besondere Leistungen'!$N$168,'weitere Besondere Leistungen'!$L$168,0)</f>
        <v>0</v>
      </c>
      <c r="E158" s="152">
        <f>IF(E$110='weitere Besondere Leistungen'!$N$168,'weitere Besondere Leistungen'!$L$168,0)</f>
        <v>0</v>
      </c>
      <c r="F158" s="152">
        <f>IF(F$110='weitere Besondere Leistungen'!$N$168,'weitere Besondere Leistungen'!$L$168,0)</f>
        <v>0</v>
      </c>
      <c r="G158" s="152">
        <f>IF(G$110='weitere Besondere Leistungen'!$N$168,'weitere Besondere Leistungen'!$L$168,0)</f>
        <v>0</v>
      </c>
      <c r="H158" s="152">
        <f>IF(H$110='weitere Besondere Leistungen'!$N$168,'weitere Besondere Leistungen'!$L$168,0)</f>
        <v>0</v>
      </c>
      <c r="I158" s="152">
        <f>IF(I$110='weitere Besondere Leistungen'!$N$168,'weitere Besondere Leistungen'!$L$168,0)</f>
        <v>0</v>
      </c>
      <c r="J158" s="152">
        <f>IF(J$110='weitere Besondere Leistungen'!$N$168,'weitere Besondere Leistungen'!$L$168,0)</f>
        <v>0</v>
      </c>
      <c r="K158" s="153">
        <f>IF(K$110='weitere Besondere Leistungen'!$N$168,'weitere Besondere Leistungen'!$L$168,0)</f>
        <v>0</v>
      </c>
      <c r="X158" s="4"/>
      <c r="Y158" s="3"/>
      <c r="Z158" s="5"/>
    </row>
    <row r="159" spans="1:26" ht="14.55" x14ac:dyDescent="0.3">
      <c r="A159" s="299"/>
      <c r="B159" s="299"/>
      <c r="C159" s="154">
        <f>IF(C$110='weitere Besondere Leistungen'!$N$172,'weitere Besondere Leistungen'!$L$172,0)</f>
        <v>0</v>
      </c>
      <c r="D159" s="155">
        <f>IF(D$110='weitere Besondere Leistungen'!$N$172,'weitere Besondere Leistungen'!$L$172,0)</f>
        <v>0</v>
      </c>
      <c r="E159" s="155">
        <f>IF(E$110='weitere Besondere Leistungen'!$N$172,'weitere Besondere Leistungen'!$L$172,0)</f>
        <v>0</v>
      </c>
      <c r="F159" s="155">
        <f>IF(F$110='weitere Besondere Leistungen'!$N$172,'weitere Besondere Leistungen'!$L$172,0)</f>
        <v>0</v>
      </c>
      <c r="G159" s="155">
        <f>IF(G$110='weitere Besondere Leistungen'!$N$172,'weitere Besondere Leistungen'!$L$172,0)</f>
        <v>0</v>
      </c>
      <c r="H159" s="155">
        <f>IF(H$110='weitere Besondere Leistungen'!$N$172,'weitere Besondere Leistungen'!$L$172,0)</f>
        <v>0</v>
      </c>
      <c r="I159" s="155">
        <f>IF(I$110='weitere Besondere Leistungen'!$N$172,'weitere Besondere Leistungen'!$L$172,0)</f>
        <v>0</v>
      </c>
      <c r="J159" s="155">
        <f>IF(J$110='weitere Besondere Leistungen'!$N$172,'weitere Besondere Leistungen'!$L$172,0)</f>
        <v>0</v>
      </c>
      <c r="K159" s="156">
        <f>IF(K$110='weitere Besondere Leistungen'!$N$172,'weitere Besondere Leistungen'!$L$172,0)</f>
        <v>0</v>
      </c>
      <c r="X159" s="4"/>
      <c r="Y159" s="3"/>
      <c r="Z159" s="5"/>
    </row>
    <row r="160" spans="1:26" ht="14.55" x14ac:dyDescent="0.3">
      <c r="A160" s="299"/>
      <c r="B160" s="299"/>
      <c r="C160" s="154">
        <f>IF(C$110='weitere Besondere Leistungen'!$N$174,'weitere Besondere Leistungen'!$L$174,0)</f>
        <v>0</v>
      </c>
      <c r="D160" s="155">
        <f>IF(D$110='weitere Besondere Leistungen'!$N$174,'weitere Besondere Leistungen'!$L$174,0)</f>
        <v>0</v>
      </c>
      <c r="E160" s="155">
        <f>IF(E$110='weitere Besondere Leistungen'!$N$174,'weitere Besondere Leistungen'!$L$174,0)</f>
        <v>0</v>
      </c>
      <c r="F160" s="155">
        <f>IF(F$110='weitere Besondere Leistungen'!$N$174,'weitere Besondere Leistungen'!$L$174,0)</f>
        <v>0</v>
      </c>
      <c r="G160" s="155">
        <f>IF(G$110='weitere Besondere Leistungen'!$N$174,'weitere Besondere Leistungen'!$L$174,0)</f>
        <v>0</v>
      </c>
      <c r="H160" s="155">
        <f>IF(H$110='weitere Besondere Leistungen'!$N$174,'weitere Besondere Leistungen'!$L$174,0)</f>
        <v>0</v>
      </c>
      <c r="I160" s="155">
        <f>IF(I$110='weitere Besondere Leistungen'!$N$174,'weitere Besondere Leistungen'!$L$174,0)</f>
        <v>0</v>
      </c>
      <c r="J160" s="155">
        <f>IF(J$110='weitere Besondere Leistungen'!$N$174,'weitere Besondere Leistungen'!$L$174,0)</f>
        <v>0</v>
      </c>
      <c r="K160" s="156">
        <f>IF(K$110='weitere Besondere Leistungen'!$N$174,'weitere Besondere Leistungen'!$L$174,0)</f>
        <v>0</v>
      </c>
      <c r="X160" s="4"/>
      <c r="Y160" s="3"/>
      <c r="Z160" s="5"/>
    </row>
    <row r="161" spans="1:26" ht="14.55" x14ac:dyDescent="0.3">
      <c r="A161" s="299"/>
      <c r="B161" s="299"/>
      <c r="C161" s="154">
        <f>IF(C$110='weitere Besondere Leistungen'!$N$176,'weitere Besondere Leistungen'!$L$176,0)</f>
        <v>0</v>
      </c>
      <c r="D161" s="155">
        <f>IF(D$110='weitere Besondere Leistungen'!$N$176,'weitere Besondere Leistungen'!$L$176,0)</f>
        <v>0</v>
      </c>
      <c r="E161" s="155">
        <f>IF(E$110='weitere Besondere Leistungen'!$N$176,'weitere Besondere Leistungen'!$L$176,0)</f>
        <v>0</v>
      </c>
      <c r="F161" s="155">
        <f>IF(F$110='weitere Besondere Leistungen'!$N$176,'weitere Besondere Leistungen'!$L$176,0)</f>
        <v>0</v>
      </c>
      <c r="G161" s="155">
        <f>IF(G$110='weitere Besondere Leistungen'!$N$176,'weitere Besondere Leistungen'!$L$176,0)</f>
        <v>0</v>
      </c>
      <c r="H161" s="155">
        <f>IF(H$110='weitere Besondere Leistungen'!$N$176,'weitere Besondere Leistungen'!$L$176,0)</f>
        <v>0</v>
      </c>
      <c r="I161" s="155">
        <f>IF(I$110='weitere Besondere Leistungen'!$N$176,'weitere Besondere Leistungen'!$L$176,0)</f>
        <v>0</v>
      </c>
      <c r="J161" s="155">
        <f>IF(J$110='weitere Besondere Leistungen'!$N$176,'weitere Besondere Leistungen'!$L$176,0)</f>
        <v>0</v>
      </c>
      <c r="K161" s="156">
        <f>IF(K$110='weitere Besondere Leistungen'!$N$176,'weitere Besondere Leistungen'!$L$176,0)</f>
        <v>0</v>
      </c>
      <c r="X161" s="4"/>
      <c r="Y161" s="3"/>
      <c r="Z161" s="5"/>
    </row>
    <row r="162" spans="1:26" ht="14.55" x14ac:dyDescent="0.3">
      <c r="A162" s="299"/>
      <c r="B162" s="299"/>
      <c r="C162" s="154">
        <f>IF(C$110='weitere Besondere Leistungen'!$N$178,'weitere Besondere Leistungen'!$L$178,0)</f>
        <v>0</v>
      </c>
      <c r="D162" s="155">
        <f>IF(D$110='weitere Besondere Leistungen'!$N$178,'weitere Besondere Leistungen'!$L$178,0)</f>
        <v>0</v>
      </c>
      <c r="E162" s="155">
        <f>IF(E$110='weitere Besondere Leistungen'!$N$178,'weitere Besondere Leistungen'!$L$178,0)</f>
        <v>0</v>
      </c>
      <c r="F162" s="155">
        <f>IF(F$110='weitere Besondere Leistungen'!$N$178,'weitere Besondere Leistungen'!$L$178,0)</f>
        <v>0</v>
      </c>
      <c r="G162" s="155">
        <f>IF(G$110='weitere Besondere Leistungen'!$N$178,'weitere Besondere Leistungen'!$L$178,0)</f>
        <v>0</v>
      </c>
      <c r="H162" s="155">
        <f>IF(H$110='weitere Besondere Leistungen'!$N$178,'weitere Besondere Leistungen'!$L$178,0)</f>
        <v>0</v>
      </c>
      <c r="I162" s="155">
        <f>IF(I$110='weitere Besondere Leistungen'!$N$178,'weitere Besondere Leistungen'!$L$178,0)</f>
        <v>0</v>
      </c>
      <c r="J162" s="155">
        <f>IF(J$110='weitere Besondere Leistungen'!$N$178,'weitere Besondere Leistungen'!$L$178,0)</f>
        <v>0</v>
      </c>
      <c r="K162" s="156">
        <f>IF(K$110='weitere Besondere Leistungen'!$N$178,'weitere Besondere Leistungen'!$L$178,0)</f>
        <v>0</v>
      </c>
      <c r="X162" s="4"/>
      <c r="Y162" s="3"/>
      <c r="Z162" s="5"/>
    </row>
    <row r="163" spans="1:26" ht="15.2" thickBot="1" x14ac:dyDescent="0.35">
      <c r="A163" s="299"/>
      <c r="B163" s="299"/>
      <c r="C163" s="157">
        <f>IF(C$110='weitere Besondere Leistungen'!$N$180,'weitere Besondere Leistungen'!$L$180,0)</f>
        <v>0</v>
      </c>
      <c r="D163" s="158">
        <f>IF(D$110='weitere Besondere Leistungen'!$N$180,'weitere Besondere Leistungen'!$L$180,0)</f>
        <v>0</v>
      </c>
      <c r="E163" s="158">
        <f>IF(E$110='weitere Besondere Leistungen'!$N$180,'weitere Besondere Leistungen'!$L$180,0)</f>
        <v>0</v>
      </c>
      <c r="F163" s="158">
        <f>IF(F$110='weitere Besondere Leistungen'!$N$180,'weitere Besondere Leistungen'!$L$180,0)</f>
        <v>0</v>
      </c>
      <c r="G163" s="158">
        <f>IF(G$110='weitere Besondere Leistungen'!$N$180,'weitere Besondere Leistungen'!$L$180,0)</f>
        <v>0</v>
      </c>
      <c r="H163" s="158">
        <f>IF(H$110='weitere Besondere Leistungen'!$N$180,'weitere Besondere Leistungen'!$L$180,0)</f>
        <v>0</v>
      </c>
      <c r="I163" s="158">
        <f>IF(I$110='weitere Besondere Leistungen'!$N$180,'weitere Besondere Leistungen'!$L$180,0)</f>
        <v>0</v>
      </c>
      <c r="J163" s="158">
        <f>IF(J$110='weitere Besondere Leistungen'!$N$180,'weitere Besondere Leistungen'!$L$180,0)</f>
        <v>0</v>
      </c>
      <c r="K163" s="159">
        <f>IF(K$110='weitere Besondere Leistungen'!$N$180,'weitere Besondere Leistungen'!$L$180,0)</f>
        <v>0</v>
      </c>
      <c r="X163" s="4"/>
      <c r="Y163" s="3"/>
      <c r="Z163" s="5"/>
    </row>
    <row r="164" spans="1:26" ht="15.2" thickBot="1" x14ac:dyDescent="0.35">
      <c r="A164" s="1643" t="s">
        <v>377</v>
      </c>
      <c r="B164" s="1643"/>
      <c r="C164" s="294">
        <f t="shared" ref="C164:K164" si="5">SUM(C158:C163)</f>
        <v>0</v>
      </c>
      <c r="D164" s="294">
        <f t="shared" si="5"/>
        <v>0</v>
      </c>
      <c r="E164" s="294">
        <f t="shared" si="5"/>
        <v>0</v>
      </c>
      <c r="F164" s="294">
        <f t="shared" si="5"/>
        <v>0</v>
      </c>
      <c r="G164" s="294">
        <f t="shared" si="5"/>
        <v>0</v>
      </c>
      <c r="H164" s="294">
        <f t="shared" si="5"/>
        <v>0</v>
      </c>
      <c r="I164" s="294">
        <f t="shared" si="5"/>
        <v>0</v>
      </c>
      <c r="J164" s="294">
        <f t="shared" si="5"/>
        <v>0</v>
      </c>
      <c r="K164" s="294">
        <f t="shared" si="5"/>
        <v>0</v>
      </c>
      <c r="X164" s="4"/>
      <c r="Y164" s="3"/>
      <c r="Z164" s="5"/>
    </row>
    <row r="165" spans="1:26" ht="15.2" thickBot="1" x14ac:dyDescent="0.35">
      <c r="A165" s="299"/>
      <c r="C165" s="1638" t="str">
        <f>'weitere Besondere Leistungen'!B183</f>
        <v xml:space="preserve"> Besondere Leistungen im Zusammenhang mit dem Brandschutz</v>
      </c>
      <c r="D165" s="1639"/>
      <c r="E165" s="1639"/>
      <c r="F165" s="1639"/>
      <c r="G165" s="1639"/>
      <c r="H165" s="1639"/>
      <c r="I165" s="1639"/>
      <c r="J165" s="1639"/>
      <c r="K165" s="1640"/>
      <c r="X165" s="4"/>
      <c r="Y165" s="3"/>
      <c r="Z165" s="5"/>
    </row>
    <row r="166" spans="1:26" ht="14.55" x14ac:dyDescent="0.3">
      <c r="A166" s="299"/>
      <c r="B166" s="299"/>
      <c r="C166" s="151">
        <f>IF(C$110='weitere Besondere Leistungen'!$N$186,'weitere Besondere Leistungen'!$L$186,0)</f>
        <v>0</v>
      </c>
      <c r="D166" s="152">
        <f>IF(D$110='weitere Besondere Leistungen'!$N$186,'weitere Besondere Leistungen'!$L$186,0)</f>
        <v>0</v>
      </c>
      <c r="E166" s="152">
        <f>IF(E$110='weitere Besondere Leistungen'!$N$186,'weitere Besondere Leistungen'!$L$186,0)</f>
        <v>0</v>
      </c>
      <c r="F166" s="152">
        <f>IF(F$110='weitere Besondere Leistungen'!$N$186,'weitere Besondere Leistungen'!$L$186,0)</f>
        <v>0</v>
      </c>
      <c r="G166" s="152">
        <f>IF(G$110='weitere Besondere Leistungen'!$N$186,'weitere Besondere Leistungen'!$L$186,0)</f>
        <v>0</v>
      </c>
      <c r="H166" s="152">
        <f>IF(H$110='weitere Besondere Leistungen'!$N$186,'weitere Besondere Leistungen'!$L$186,0)</f>
        <v>0</v>
      </c>
      <c r="I166" s="152">
        <f>IF(I$110='weitere Besondere Leistungen'!$N$186,'weitere Besondere Leistungen'!$L$186,0)</f>
        <v>0</v>
      </c>
      <c r="J166" s="152">
        <f>IF(J$110='weitere Besondere Leistungen'!$N$186,'weitere Besondere Leistungen'!$L$186,0)</f>
        <v>0</v>
      </c>
      <c r="K166" s="153">
        <f>IF(K$110='weitere Besondere Leistungen'!$N$186,'weitere Besondere Leistungen'!$L$186,0)</f>
        <v>0</v>
      </c>
      <c r="X166" s="4"/>
      <c r="Y166" s="3"/>
      <c r="Z166" s="5"/>
    </row>
    <row r="167" spans="1:26" ht="14.55" x14ac:dyDescent="0.3">
      <c r="A167" s="299"/>
      <c r="B167" s="299"/>
      <c r="C167" s="154">
        <f>IF(C$110='weitere Besondere Leistungen'!$N$189,'weitere Besondere Leistungen'!$L$189,0)</f>
        <v>0</v>
      </c>
      <c r="D167" s="155">
        <f>IF(D$110='weitere Besondere Leistungen'!$N$189,'weitere Besondere Leistungen'!$L$189,0)</f>
        <v>0</v>
      </c>
      <c r="E167" s="155">
        <f>IF(E$110='weitere Besondere Leistungen'!$N$189,'weitere Besondere Leistungen'!$L$189,0)</f>
        <v>0</v>
      </c>
      <c r="F167" s="155">
        <f>IF(F$110='weitere Besondere Leistungen'!$N$189,'weitere Besondere Leistungen'!$L$189,0)</f>
        <v>0</v>
      </c>
      <c r="G167" s="155">
        <f>IF(G$110='weitere Besondere Leistungen'!$N$189,'weitere Besondere Leistungen'!$L$189,0)</f>
        <v>0</v>
      </c>
      <c r="H167" s="155">
        <f>IF(H$110='weitere Besondere Leistungen'!$N$189,'weitere Besondere Leistungen'!$L$189,0)</f>
        <v>0</v>
      </c>
      <c r="I167" s="155">
        <f>IF(I$110='weitere Besondere Leistungen'!$N$189,'weitere Besondere Leistungen'!$L$189,0)</f>
        <v>0</v>
      </c>
      <c r="J167" s="155">
        <f>IF(J$110='weitere Besondere Leistungen'!$N$189,'weitere Besondere Leistungen'!$L$189,0)</f>
        <v>0</v>
      </c>
      <c r="K167" s="156">
        <f>IF(K$110='weitere Besondere Leistungen'!$N$189,'weitere Besondere Leistungen'!$L$189,0)</f>
        <v>0</v>
      </c>
      <c r="X167" s="4"/>
      <c r="Y167" s="3"/>
      <c r="Z167" s="5"/>
    </row>
    <row r="168" spans="1:26" ht="14.55" x14ac:dyDescent="0.3">
      <c r="A168" s="299"/>
      <c r="B168" s="299"/>
      <c r="C168" s="154">
        <f>IF(C$110='weitere Besondere Leistungen'!$N$191,'weitere Besondere Leistungen'!$L$191,0)</f>
        <v>0</v>
      </c>
      <c r="D168" s="155">
        <f>IF(D$110='weitere Besondere Leistungen'!$N$191,'weitere Besondere Leistungen'!$L$191,0)</f>
        <v>0</v>
      </c>
      <c r="E168" s="155">
        <f>IF(E$110='weitere Besondere Leistungen'!$N$191,'weitere Besondere Leistungen'!$L$191,0)</f>
        <v>0</v>
      </c>
      <c r="F168" s="155">
        <f>IF(F$110='weitere Besondere Leistungen'!$N$191,'weitere Besondere Leistungen'!$L$191,0)</f>
        <v>0</v>
      </c>
      <c r="G168" s="155">
        <f>IF(G$110='weitere Besondere Leistungen'!$N$191,'weitere Besondere Leistungen'!$L$191,0)</f>
        <v>0</v>
      </c>
      <c r="H168" s="155">
        <f>IF(H$110='weitere Besondere Leistungen'!$N$191,'weitere Besondere Leistungen'!$L$191,0)</f>
        <v>0</v>
      </c>
      <c r="I168" s="155">
        <f>IF(I$110='weitere Besondere Leistungen'!$N$191,'weitere Besondere Leistungen'!$L$191,0)</f>
        <v>0</v>
      </c>
      <c r="J168" s="155">
        <f>IF(J$110='weitere Besondere Leistungen'!$N$191,'weitere Besondere Leistungen'!$L$191,0)</f>
        <v>0</v>
      </c>
      <c r="K168" s="156">
        <f>IF(K$110='weitere Besondere Leistungen'!$N$191,'weitere Besondere Leistungen'!$L$191,0)</f>
        <v>0</v>
      </c>
      <c r="X168" s="4"/>
      <c r="Y168" s="3"/>
      <c r="Z168" s="5"/>
    </row>
    <row r="169" spans="1:26" ht="14.55" x14ac:dyDescent="0.3">
      <c r="A169" s="299"/>
      <c r="B169" s="299"/>
      <c r="C169" s="154">
        <f>IF(C$110='weitere Besondere Leistungen'!$N$193,'weitere Besondere Leistungen'!$L$193,0)</f>
        <v>0</v>
      </c>
      <c r="D169" s="155">
        <f>IF(D$110='weitere Besondere Leistungen'!$N$193,'weitere Besondere Leistungen'!$L$193,0)</f>
        <v>0</v>
      </c>
      <c r="E169" s="155">
        <f>IF(E$110='weitere Besondere Leistungen'!$N$193,'weitere Besondere Leistungen'!$L$193,0)</f>
        <v>0</v>
      </c>
      <c r="F169" s="155">
        <f>IF(F$110='weitere Besondere Leistungen'!$N$193,'weitere Besondere Leistungen'!$L$193,0)</f>
        <v>0</v>
      </c>
      <c r="G169" s="155">
        <f>IF(G$110='weitere Besondere Leistungen'!$N$193,'weitere Besondere Leistungen'!$L$193,0)</f>
        <v>0</v>
      </c>
      <c r="H169" s="155">
        <f>IF(H$110='weitere Besondere Leistungen'!$N$193,'weitere Besondere Leistungen'!$L$193,0)</f>
        <v>0</v>
      </c>
      <c r="I169" s="155">
        <f>IF(I$110='weitere Besondere Leistungen'!$N$193,'weitere Besondere Leistungen'!$L$193,0)</f>
        <v>0</v>
      </c>
      <c r="J169" s="155">
        <f>IF(J$110='weitere Besondere Leistungen'!$N$193,'weitere Besondere Leistungen'!$L$193,0)</f>
        <v>0</v>
      </c>
      <c r="K169" s="156">
        <f>IF(K$110='weitere Besondere Leistungen'!$N$193,'weitere Besondere Leistungen'!$L$193,0)</f>
        <v>0</v>
      </c>
      <c r="X169" s="4"/>
      <c r="Y169" s="3"/>
      <c r="Z169" s="5"/>
    </row>
    <row r="170" spans="1:26" ht="14.55" x14ac:dyDescent="0.3">
      <c r="A170" s="299"/>
      <c r="B170" s="299"/>
      <c r="C170" s="154">
        <f>IF(C$110='weitere Besondere Leistungen'!$N$195,'weitere Besondere Leistungen'!$L$195,0)</f>
        <v>0</v>
      </c>
      <c r="D170" s="155">
        <f>IF(D$110='weitere Besondere Leistungen'!$N$195,'weitere Besondere Leistungen'!$L$195,0)</f>
        <v>0</v>
      </c>
      <c r="E170" s="155">
        <f>IF(E$110='weitere Besondere Leistungen'!$N$195,'weitere Besondere Leistungen'!$L$195,0)</f>
        <v>0</v>
      </c>
      <c r="F170" s="155">
        <f>IF(F$110='weitere Besondere Leistungen'!$N$195,'weitere Besondere Leistungen'!$L$195,0)</f>
        <v>0</v>
      </c>
      <c r="G170" s="155">
        <f>IF(G$110='weitere Besondere Leistungen'!$N$195,'weitere Besondere Leistungen'!$L$195,0)</f>
        <v>0</v>
      </c>
      <c r="H170" s="155">
        <f>IF(H$110='weitere Besondere Leistungen'!$N$195,'weitere Besondere Leistungen'!$L$195,0)</f>
        <v>0</v>
      </c>
      <c r="I170" s="155">
        <f>IF(I$110='weitere Besondere Leistungen'!$N$195,'weitere Besondere Leistungen'!$L$195,0)</f>
        <v>0</v>
      </c>
      <c r="J170" s="155">
        <f>IF(J$110='weitere Besondere Leistungen'!$N$195,'weitere Besondere Leistungen'!$L$195,0)</f>
        <v>0</v>
      </c>
      <c r="K170" s="156">
        <f>IF(K$110='weitere Besondere Leistungen'!$N$195,'weitere Besondere Leistungen'!$L$195,0)</f>
        <v>0</v>
      </c>
      <c r="X170" s="4"/>
      <c r="Y170" s="3"/>
      <c r="Z170" s="5"/>
    </row>
    <row r="171" spans="1:26" ht="14.55" x14ac:dyDescent="0.3">
      <c r="A171" s="299"/>
      <c r="B171" s="299"/>
      <c r="C171" s="154">
        <f>IF(C$110='weitere Besondere Leistungen'!$N$200,'weitere Besondere Leistungen'!$L$200,0)</f>
        <v>0</v>
      </c>
      <c r="D171" s="155">
        <f>IF(D$110='weitere Besondere Leistungen'!$N$200,'weitere Besondere Leistungen'!$L$200,0)</f>
        <v>0</v>
      </c>
      <c r="E171" s="155">
        <f>IF(E$110='weitere Besondere Leistungen'!$N$200,'weitere Besondere Leistungen'!$L$200,0)</f>
        <v>0</v>
      </c>
      <c r="F171" s="155">
        <f>IF(F$110='weitere Besondere Leistungen'!$N$200,'weitere Besondere Leistungen'!$L$200,0)</f>
        <v>0</v>
      </c>
      <c r="G171" s="155">
        <f>IF(G$110='weitere Besondere Leistungen'!$N$200,'weitere Besondere Leistungen'!$L$200,0)</f>
        <v>0</v>
      </c>
      <c r="H171" s="155">
        <f>IF(H$110='weitere Besondere Leistungen'!$N$200,'weitere Besondere Leistungen'!$L$200,0)</f>
        <v>0</v>
      </c>
      <c r="I171" s="155">
        <f>IF(I$110='weitere Besondere Leistungen'!$N$200,'weitere Besondere Leistungen'!$L$200,0)</f>
        <v>0</v>
      </c>
      <c r="J171" s="155">
        <f>IF(J$110='weitere Besondere Leistungen'!$N$200,'weitere Besondere Leistungen'!$L$200,0)</f>
        <v>0</v>
      </c>
      <c r="K171" s="156">
        <f>IF(K$110='weitere Besondere Leistungen'!$N$200,'weitere Besondere Leistungen'!$L$200,0)</f>
        <v>0</v>
      </c>
      <c r="X171" s="4"/>
      <c r="Y171" s="3"/>
      <c r="Z171" s="5"/>
    </row>
    <row r="172" spans="1:26" ht="14.55" x14ac:dyDescent="0.3">
      <c r="A172" s="299"/>
      <c r="B172" s="299"/>
      <c r="C172" s="154">
        <f>IF(C$110='weitere Besondere Leistungen'!$N$203,'weitere Besondere Leistungen'!$L$203,0)</f>
        <v>0</v>
      </c>
      <c r="D172" s="155">
        <f>IF(D$110='weitere Besondere Leistungen'!$N$203,'weitere Besondere Leistungen'!$L$203,0)</f>
        <v>0</v>
      </c>
      <c r="E172" s="155">
        <f>IF(E$110='weitere Besondere Leistungen'!$N$203,'weitere Besondere Leistungen'!$L$203,0)</f>
        <v>0</v>
      </c>
      <c r="F172" s="155">
        <f>IF(F$110='weitere Besondere Leistungen'!$N$203,'weitere Besondere Leistungen'!$L$203,0)</f>
        <v>0</v>
      </c>
      <c r="G172" s="155">
        <f>IF(G$110='weitere Besondere Leistungen'!$N$203,'weitere Besondere Leistungen'!$L$203,0)</f>
        <v>0</v>
      </c>
      <c r="H172" s="155">
        <f>IF(H$110='weitere Besondere Leistungen'!$N$203,'weitere Besondere Leistungen'!$L$203,0)</f>
        <v>0</v>
      </c>
      <c r="I172" s="155">
        <f>IF(I$110='weitere Besondere Leistungen'!$N$203,'weitere Besondere Leistungen'!$L$203,0)</f>
        <v>0</v>
      </c>
      <c r="J172" s="155">
        <f>IF(J$110='weitere Besondere Leistungen'!$N$203,'weitere Besondere Leistungen'!$L$203,0)</f>
        <v>0</v>
      </c>
      <c r="K172" s="156">
        <f>IF(K$110='weitere Besondere Leistungen'!$N$203,'weitere Besondere Leistungen'!$L$203,0)</f>
        <v>0</v>
      </c>
      <c r="X172" s="4"/>
      <c r="Y172" s="3"/>
      <c r="Z172" s="5"/>
    </row>
    <row r="173" spans="1:26" ht="14.55" x14ac:dyDescent="0.3">
      <c r="A173" s="299"/>
      <c r="B173" s="299"/>
      <c r="C173" s="154">
        <f>IF(C$110='weitere Besondere Leistungen'!$N$205,'weitere Besondere Leistungen'!$L$205,0)</f>
        <v>0</v>
      </c>
      <c r="D173" s="155">
        <f>IF(D$110='weitere Besondere Leistungen'!$N$205,'weitere Besondere Leistungen'!$L$205,0)</f>
        <v>0</v>
      </c>
      <c r="E173" s="155">
        <f>IF(E$110='weitere Besondere Leistungen'!$N$205,'weitere Besondere Leistungen'!$L$205,0)</f>
        <v>0</v>
      </c>
      <c r="F173" s="155">
        <f>IF(F$110='weitere Besondere Leistungen'!$N$205,'weitere Besondere Leistungen'!$L$205,0)</f>
        <v>0</v>
      </c>
      <c r="G173" s="155">
        <f>IF(G$110='weitere Besondere Leistungen'!$N$205,'weitere Besondere Leistungen'!$L$205,0)</f>
        <v>0</v>
      </c>
      <c r="H173" s="155">
        <f>IF(H$110='weitere Besondere Leistungen'!$N$205,'weitere Besondere Leistungen'!$L$205,0)</f>
        <v>0</v>
      </c>
      <c r="I173" s="155">
        <f>IF(I$110='weitere Besondere Leistungen'!$N$205,'weitere Besondere Leistungen'!$L$205,0)</f>
        <v>0</v>
      </c>
      <c r="J173" s="155">
        <f>IF(J$110='weitere Besondere Leistungen'!$N$205,'weitere Besondere Leistungen'!$L$205,0)</f>
        <v>0</v>
      </c>
      <c r="K173" s="156">
        <f>IF(K$110='weitere Besondere Leistungen'!$N$205,'weitere Besondere Leistungen'!$L$205,0)</f>
        <v>0</v>
      </c>
      <c r="X173" s="4"/>
      <c r="Y173" s="3"/>
      <c r="Z173" s="5"/>
    </row>
    <row r="174" spans="1:26" ht="14.55" x14ac:dyDescent="0.3">
      <c r="A174" s="299"/>
      <c r="B174" s="299"/>
      <c r="C174" s="154">
        <f>IF(C$110='weitere Besondere Leistungen'!$N$207,'weitere Besondere Leistungen'!$L$207,0)</f>
        <v>0</v>
      </c>
      <c r="D174" s="155">
        <f>IF(D$110='weitere Besondere Leistungen'!$N$207,'weitere Besondere Leistungen'!$L$207,0)</f>
        <v>0</v>
      </c>
      <c r="E174" s="155">
        <f>IF(E$110='weitere Besondere Leistungen'!$N$207,'weitere Besondere Leistungen'!$L$207,0)</f>
        <v>0</v>
      </c>
      <c r="F174" s="155">
        <f>IF(F$110='weitere Besondere Leistungen'!$N$207,'weitere Besondere Leistungen'!$L$207,0)</f>
        <v>0</v>
      </c>
      <c r="G174" s="155">
        <f>IF(G$110='weitere Besondere Leistungen'!$N$207,'weitere Besondere Leistungen'!$L$207,0)</f>
        <v>0</v>
      </c>
      <c r="H174" s="155">
        <f>IF(H$110='weitere Besondere Leistungen'!$N$207,'weitere Besondere Leistungen'!$L$207,0)</f>
        <v>0</v>
      </c>
      <c r="I174" s="155">
        <f>IF(I$110='weitere Besondere Leistungen'!$N$207,'weitere Besondere Leistungen'!$L$207,0)</f>
        <v>0</v>
      </c>
      <c r="J174" s="155">
        <f>IF(J$110='weitere Besondere Leistungen'!$N$207,'weitere Besondere Leistungen'!$L$207,0)</f>
        <v>0</v>
      </c>
      <c r="K174" s="156">
        <f>IF(K$110='weitere Besondere Leistungen'!$N$207,'weitere Besondere Leistungen'!$L$207,0)</f>
        <v>0</v>
      </c>
      <c r="X174" s="4"/>
      <c r="Y174" s="3"/>
      <c r="Z174" s="5"/>
    </row>
    <row r="175" spans="1:26" ht="14.55" x14ac:dyDescent="0.3">
      <c r="A175" s="299"/>
      <c r="B175" s="299"/>
      <c r="C175" s="154">
        <f>IF(C$110='weitere Besondere Leistungen'!$N$210,'weitere Besondere Leistungen'!$L$210,0)</f>
        <v>0</v>
      </c>
      <c r="D175" s="155">
        <f>IF(D$110='weitere Besondere Leistungen'!$N$210,'weitere Besondere Leistungen'!$L$210,0)</f>
        <v>0</v>
      </c>
      <c r="E175" s="155">
        <f>IF(E$110='weitere Besondere Leistungen'!$N$210,'weitere Besondere Leistungen'!$L$210,0)</f>
        <v>0</v>
      </c>
      <c r="F175" s="155">
        <f>IF(F$110='weitere Besondere Leistungen'!$N$210,'weitere Besondere Leistungen'!$L$210,0)</f>
        <v>0</v>
      </c>
      <c r="G175" s="155">
        <f>IF(G$110='weitere Besondere Leistungen'!$N$210,'weitere Besondere Leistungen'!$L$210,0)</f>
        <v>0</v>
      </c>
      <c r="H175" s="155">
        <f>IF(H$110='weitere Besondere Leistungen'!$N$210,'weitere Besondere Leistungen'!$L$210,0)</f>
        <v>0</v>
      </c>
      <c r="I175" s="155">
        <f>IF(I$110='weitere Besondere Leistungen'!$N$210,'weitere Besondere Leistungen'!$L$210,0)</f>
        <v>0</v>
      </c>
      <c r="J175" s="155">
        <f>IF(J$110='weitere Besondere Leistungen'!$N$210,'weitere Besondere Leistungen'!$L$210,0)</f>
        <v>0</v>
      </c>
      <c r="K175" s="156">
        <f>IF(K$110='weitere Besondere Leistungen'!$N$210,'weitere Besondere Leistungen'!$L$210,0)</f>
        <v>0</v>
      </c>
      <c r="X175" s="4"/>
      <c r="Y175" s="3"/>
      <c r="Z175" s="5"/>
    </row>
    <row r="176" spans="1:26" ht="14.55" x14ac:dyDescent="0.3">
      <c r="A176" s="299"/>
      <c r="B176" s="299"/>
      <c r="C176" s="154">
        <f>IF(C$110='weitere Besondere Leistungen'!$N$212,'weitere Besondere Leistungen'!$L$212,0)</f>
        <v>0</v>
      </c>
      <c r="D176" s="155">
        <f>IF(D$110='weitere Besondere Leistungen'!$N$212,'weitere Besondere Leistungen'!$L$212,0)</f>
        <v>0</v>
      </c>
      <c r="E176" s="155">
        <f>IF(E$110='weitere Besondere Leistungen'!$N$212,'weitere Besondere Leistungen'!$L$212,0)</f>
        <v>0</v>
      </c>
      <c r="F176" s="155">
        <f>IF(F$110='weitere Besondere Leistungen'!$N$212,'weitere Besondere Leistungen'!$L$212,0)</f>
        <v>0</v>
      </c>
      <c r="G176" s="155">
        <f>IF(G$110='weitere Besondere Leistungen'!$N$212,'weitere Besondere Leistungen'!$L$212,0)</f>
        <v>0</v>
      </c>
      <c r="H176" s="155">
        <f>IF(H$110='weitere Besondere Leistungen'!$N$212,'weitere Besondere Leistungen'!$L$212,0)</f>
        <v>0</v>
      </c>
      <c r="I176" s="155">
        <f>IF(I$110='weitere Besondere Leistungen'!$N$212,'weitere Besondere Leistungen'!$L$212,0)</f>
        <v>0</v>
      </c>
      <c r="J176" s="155">
        <f>IF(J$110='weitere Besondere Leistungen'!$N$212,'weitere Besondere Leistungen'!$L$212,0)</f>
        <v>0</v>
      </c>
      <c r="K176" s="156">
        <f>IF(K$110='weitere Besondere Leistungen'!$N$212,'weitere Besondere Leistungen'!$L$212,0)</f>
        <v>0</v>
      </c>
      <c r="X176" s="4"/>
      <c r="Y176" s="3"/>
      <c r="Z176" s="5"/>
    </row>
    <row r="177" spans="1:26" ht="14.55" x14ac:dyDescent="0.3">
      <c r="A177" s="299"/>
      <c r="B177" s="299"/>
      <c r="C177" s="154">
        <f>IF(C$110='weitere Besondere Leistungen'!$N$214,'weitere Besondere Leistungen'!$L$214,0)</f>
        <v>0</v>
      </c>
      <c r="D177" s="155">
        <f>IF(D$110='weitere Besondere Leistungen'!$N$214,'weitere Besondere Leistungen'!$L$214,0)</f>
        <v>0</v>
      </c>
      <c r="E177" s="155">
        <f>IF(E$110='weitere Besondere Leistungen'!$N$214,'weitere Besondere Leistungen'!$L$214,0)</f>
        <v>0</v>
      </c>
      <c r="F177" s="155">
        <f>IF(F$110='weitere Besondere Leistungen'!$N$214,'weitere Besondere Leistungen'!$L$214,0)</f>
        <v>0</v>
      </c>
      <c r="G177" s="155">
        <f>IF(G$110='weitere Besondere Leistungen'!$N$214,'weitere Besondere Leistungen'!$L$214,0)</f>
        <v>0</v>
      </c>
      <c r="H177" s="155">
        <f>IF(H$110='weitere Besondere Leistungen'!$N$214,'weitere Besondere Leistungen'!$L$214,0)</f>
        <v>0</v>
      </c>
      <c r="I177" s="155">
        <f>IF(I$110='weitere Besondere Leistungen'!$N$214,'weitere Besondere Leistungen'!$L$214,0)</f>
        <v>0</v>
      </c>
      <c r="J177" s="155">
        <f>IF(J$110='weitere Besondere Leistungen'!$N$214,'weitere Besondere Leistungen'!$L$214,0)</f>
        <v>0</v>
      </c>
      <c r="K177" s="156">
        <f>IF(K$110='weitere Besondere Leistungen'!$N$214,'weitere Besondere Leistungen'!$L$214,0)</f>
        <v>0</v>
      </c>
      <c r="X177" s="4"/>
      <c r="Y177" s="3"/>
      <c r="Z177" s="5"/>
    </row>
    <row r="178" spans="1:26" ht="14.55" x14ac:dyDescent="0.3">
      <c r="A178" s="299"/>
      <c r="B178" s="299"/>
      <c r="C178" s="154">
        <f>IF(C$110='weitere Besondere Leistungen'!$N$216,'weitere Besondere Leistungen'!$L$216,0)</f>
        <v>0</v>
      </c>
      <c r="D178" s="155">
        <f>IF(D$110='weitere Besondere Leistungen'!$N$216,'weitere Besondere Leistungen'!$L$216,0)</f>
        <v>0</v>
      </c>
      <c r="E178" s="155">
        <f>IF(E$110='weitere Besondere Leistungen'!$N$216,'weitere Besondere Leistungen'!$L$216,0)</f>
        <v>0</v>
      </c>
      <c r="F178" s="155">
        <f>IF(F$110='weitere Besondere Leistungen'!$N$216,'weitere Besondere Leistungen'!$L$216,0)</f>
        <v>0</v>
      </c>
      <c r="G178" s="155">
        <f>IF(G$110='weitere Besondere Leistungen'!$N$216,'weitere Besondere Leistungen'!$L$216,0)</f>
        <v>0</v>
      </c>
      <c r="H178" s="155">
        <f>IF(H$110='weitere Besondere Leistungen'!$N$216,'weitere Besondere Leistungen'!$L$216,0)</f>
        <v>0</v>
      </c>
      <c r="I178" s="155">
        <f>IF(I$110='weitere Besondere Leistungen'!$N$216,'weitere Besondere Leistungen'!$L$216,0)</f>
        <v>0</v>
      </c>
      <c r="J178" s="155">
        <f>IF(J$110='weitere Besondere Leistungen'!$N$216,'weitere Besondere Leistungen'!$L$216,0)</f>
        <v>0</v>
      </c>
      <c r="K178" s="156">
        <f>IF(K$110='weitere Besondere Leistungen'!$N$216,'weitere Besondere Leistungen'!$L$216,0)</f>
        <v>0</v>
      </c>
      <c r="X178" s="4"/>
      <c r="Y178" s="3"/>
      <c r="Z178" s="5"/>
    </row>
    <row r="179" spans="1:26" ht="14.55" x14ac:dyDescent="0.3">
      <c r="A179" s="299"/>
      <c r="B179" s="299"/>
      <c r="C179" s="154">
        <f>IF(C$110='weitere Besondere Leistungen'!$N$218,'weitere Besondere Leistungen'!$L$218,0)</f>
        <v>0</v>
      </c>
      <c r="D179" s="155">
        <f>IF(D$110='weitere Besondere Leistungen'!$N$218,'weitere Besondere Leistungen'!$L$218,0)</f>
        <v>0</v>
      </c>
      <c r="E179" s="155">
        <f>IF(E$110='weitere Besondere Leistungen'!$N$218,'weitere Besondere Leistungen'!$L$218,0)</f>
        <v>0</v>
      </c>
      <c r="F179" s="155">
        <f>IF(F$110='weitere Besondere Leistungen'!$N$218,'weitere Besondere Leistungen'!$L$218,0)</f>
        <v>0</v>
      </c>
      <c r="G179" s="155">
        <f>IF(G$110='weitere Besondere Leistungen'!$N$218,'weitere Besondere Leistungen'!$L$218,0)</f>
        <v>0</v>
      </c>
      <c r="H179" s="155">
        <f>IF(H$110='weitere Besondere Leistungen'!$N$218,'weitere Besondere Leistungen'!$L$218,0)</f>
        <v>0</v>
      </c>
      <c r="I179" s="155">
        <f>IF(I$110='weitere Besondere Leistungen'!$N$218,'weitere Besondere Leistungen'!$L$218,0)</f>
        <v>0</v>
      </c>
      <c r="J179" s="155">
        <f>IF(J$110='weitere Besondere Leistungen'!$N$218,'weitere Besondere Leistungen'!$L$218,0)</f>
        <v>0</v>
      </c>
      <c r="K179" s="156">
        <f>IF(K$110='weitere Besondere Leistungen'!$N$218,'weitere Besondere Leistungen'!$L$218,0)</f>
        <v>0</v>
      </c>
      <c r="X179" s="4"/>
      <c r="Y179" s="3"/>
      <c r="Z179" s="5"/>
    </row>
    <row r="180" spans="1:26" ht="14.55" x14ac:dyDescent="0.3">
      <c r="A180" s="299"/>
      <c r="B180" s="299"/>
      <c r="C180" s="154">
        <f>IF(C$110='weitere Besondere Leistungen'!$N$220,'weitere Besondere Leistungen'!$L$220,0)</f>
        <v>0</v>
      </c>
      <c r="D180" s="155">
        <f>IF(D$110='weitere Besondere Leistungen'!$N$220,'weitere Besondere Leistungen'!$L$220,0)</f>
        <v>0</v>
      </c>
      <c r="E180" s="155">
        <f>IF(E$110='weitere Besondere Leistungen'!$N$220,'weitere Besondere Leistungen'!$L$220,0)</f>
        <v>0</v>
      </c>
      <c r="F180" s="155">
        <f>IF(F$110='weitere Besondere Leistungen'!$N$220,'weitere Besondere Leistungen'!$L$220,0)</f>
        <v>0</v>
      </c>
      <c r="G180" s="155">
        <f>IF(G$110='weitere Besondere Leistungen'!$N$220,'weitere Besondere Leistungen'!$L$220,0)</f>
        <v>0</v>
      </c>
      <c r="H180" s="155">
        <f>IF(H$110='weitere Besondere Leistungen'!$N$220,'weitere Besondere Leistungen'!$L$220,0)</f>
        <v>0</v>
      </c>
      <c r="I180" s="155">
        <f>IF(I$110='weitere Besondere Leistungen'!$N$220,'weitere Besondere Leistungen'!$L$220,0)</f>
        <v>0</v>
      </c>
      <c r="J180" s="155">
        <f>IF(J$110='weitere Besondere Leistungen'!$N$220,'weitere Besondere Leistungen'!$L$220,0)</f>
        <v>0</v>
      </c>
      <c r="K180" s="156">
        <f>IF(K$110='weitere Besondere Leistungen'!$N$220,'weitere Besondere Leistungen'!$L$220,0)</f>
        <v>0</v>
      </c>
      <c r="X180" s="4"/>
      <c r="Y180" s="3"/>
      <c r="Z180" s="5"/>
    </row>
    <row r="181" spans="1:26" ht="14.55" x14ac:dyDescent="0.3">
      <c r="A181" s="299"/>
      <c r="B181" s="299"/>
      <c r="C181" s="154">
        <f>IF(C$110='weitere Besondere Leistungen'!$N$223,'weitere Besondere Leistungen'!$L$223,0)</f>
        <v>0</v>
      </c>
      <c r="D181" s="155">
        <f>IF(D$110='weitere Besondere Leistungen'!$N$223,'weitere Besondere Leistungen'!$L$223,0)</f>
        <v>0</v>
      </c>
      <c r="E181" s="155">
        <f>IF(E$110='weitere Besondere Leistungen'!$N$223,'weitere Besondere Leistungen'!$L$223,0)</f>
        <v>0</v>
      </c>
      <c r="F181" s="155">
        <f>IF(F$110='weitere Besondere Leistungen'!$N$223,'weitere Besondere Leistungen'!$L$223,0)</f>
        <v>0</v>
      </c>
      <c r="G181" s="155">
        <f>IF(G$110='weitere Besondere Leistungen'!$N$223,'weitere Besondere Leistungen'!$L$223,0)</f>
        <v>0</v>
      </c>
      <c r="H181" s="155">
        <f>IF(H$110='weitere Besondere Leistungen'!$N$223,'weitere Besondere Leistungen'!$L$223,0)</f>
        <v>0</v>
      </c>
      <c r="I181" s="155">
        <f>IF(I$110='weitere Besondere Leistungen'!$N$223,'weitere Besondere Leistungen'!$L$223,0)</f>
        <v>0</v>
      </c>
      <c r="J181" s="155">
        <f>IF(J$110='weitere Besondere Leistungen'!$N$223,'weitere Besondere Leistungen'!$L$223,0)</f>
        <v>0</v>
      </c>
      <c r="K181" s="156">
        <f>IF(K$110='weitere Besondere Leistungen'!$N$223,'weitere Besondere Leistungen'!$L$223,0)</f>
        <v>0</v>
      </c>
      <c r="X181" s="4"/>
      <c r="Y181" s="3"/>
      <c r="Z181" s="5"/>
    </row>
    <row r="182" spans="1:26" ht="14.55" x14ac:dyDescent="0.3">
      <c r="A182" s="299"/>
      <c r="B182" s="299"/>
      <c r="C182" s="154">
        <f>IF(C$110='weitere Besondere Leistungen'!$N$225,'weitere Besondere Leistungen'!$L$225,0)</f>
        <v>0</v>
      </c>
      <c r="D182" s="155">
        <f>IF(D$110='weitere Besondere Leistungen'!$N$225,'weitere Besondere Leistungen'!$L$225,0)</f>
        <v>0</v>
      </c>
      <c r="E182" s="155">
        <f>IF(E$110='weitere Besondere Leistungen'!$N$225,'weitere Besondere Leistungen'!$L$225,0)</f>
        <v>0</v>
      </c>
      <c r="F182" s="155">
        <f>IF(F$110='weitere Besondere Leistungen'!$N$225,'weitere Besondere Leistungen'!$L$225,0)</f>
        <v>0</v>
      </c>
      <c r="G182" s="155">
        <f>IF(G$110='weitere Besondere Leistungen'!$N$225,'weitere Besondere Leistungen'!$L$225,0)</f>
        <v>0</v>
      </c>
      <c r="H182" s="155">
        <f>IF(H$110='weitere Besondere Leistungen'!$N$225,'weitere Besondere Leistungen'!$L$225,0)</f>
        <v>0</v>
      </c>
      <c r="I182" s="155">
        <f>IF(I$110='weitere Besondere Leistungen'!$N$225,'weitere Besondere Leistungen'!$L$225,0)</f>
        <v>0</v>
      </c>
      <c r="J182" s="155">
        <f>IF(J$110='weitere Besondere Leistungen'!$N$225,'weitere Besondere Leistungen'!$L$225,0)</f>
        <v>0</v>
      </c>
      <c r="K182" s="156">
        <f>IF(K$110='weitere Besondere Leistungen'!$N$225,'weitere Besondere Leistungen'!$L$225,0)</f>
        <v>0</v>
      </c>
      <c r="X182" s="4"/>
      <c r="Y182" s="3"/>
      <c r="Z182" s="5"/>
    </row>
    <row r="183" spans="1:26" ht="14.55" x14ac:dyDescent="0.3">
      <c r="A183" s="299"/>
      <c r="B183" s="299"/>
      <c r="C183" s="154">
        <f>IF(C$110='weitere Besondere Leistungen'!$N$227,'weitere Besondere Leistungen'!$L$227,0)</f>
        <v>0</v>
      </c>
      <c r="D183" s="155">
        <f>IF(D$110='weitere Besondere Leistungen'!$N$227,'weitere Besondere Leistungen'!$L$227,0)</f>
        <v>0</v>
      </c>
      <c r="E183" s="155">
        <f>IF(E$110='weitere Besondere Leistungen'!$N$227,'weitere Besondere Leistungen'!$L$227,0)</f>
        <v>0</v>
      </c>
      <c r="F183" s="155">
        <f>IF(F$110='weitere Besondere Leistungen'!$N$227,'weitere Besondere Leistungen'!$L$227,0)</f>
        <v>0</v>
      </c>
      <c r="G183" s="155">
        <f>IF(G$110='weitere Besondere Leistungen'!$N$227,'weitere Besondere Leistungen'!$L$227,0)</f>
        <v>0</v>
      </c>
      <c r="H183" s="155">
        <f>IF(H$110='weitere Besondere Leistungen'!$N$227,'weitere Besondere Leistungen'!$L$227,0)</f>
        <v>0</v>
      </c>
      <c r="I183" s="155">
        <f>IF(I$110='weitere Besondere Leistungen'!$N$227,'weitere Besondere Leistungen'!$L$227,0)</f>
        <v>0</v>
      </c>
      <c r="J183" s="155">
        <f>IF(J$110='weitere Besondere Leistungen'!$N$227,'weitere Besondere Leistungen'!$L$227,0)</f>
        <v>0</v>
      </c>
      <c r="K183" s="156">
        <f>IF(K$110='weitere Besondere Leistungen'!$N$227,'weitere Besondere Leistungen'!$L$227,0)</f>
        <v>0</v>
      </c>
      <c r="X183" s="4"/>
      <c r="Y183" s="3"/>
      <c r="Z183" s="5"/>
    </row>
    <row r="184" spans="1:26" ht="14.55" x14ac:dyDescent="0.3">
      <c r="A184" s="299"/>
      <c r="B184" s="299"/>
      <c r="C184" s="154">
        <f>IF(C$110='weitere Besondere Leistungen'!$N$229,'weitere Besondere Leistungen'!$L$229,0)</f>
        <v>0</v>
      </c>
      <c r="D184" s="155">
        <f>IF(D$110='weitere Besondere Leistungen'!$N$229,'weitere Besondere Leistungen'!$L$229,0)</f>
        <v>0</v>
      </c>
      <c r="E184" s="155">
        <f>IF(E$110='weitere Besondere Leistungen'!$N$229,'weitere Besondere Leistungen'!$L$229,0)</f>
        <v>0</v>
      </c>
      <c r="F184" s="155">
        <f>IF(F$110='weitere Besondere Leistungen'!$N$229,'weitere Besondere Leistungen'!$L$229,0)</f>
        <v>0</v>
      </c>
      <c r="G184" s="155">
        <f>IF(G$110='weitere Besondere Leistungen'!$N$229,'weitere Besondere Leistungen'!$L$229,0)</f>
        <v>0</v>
      </c>
      <c r="H184" s="155">
        <f>IF(H$110='weitere Besondere Leistungen'!$N$229,'weitere Besondere Leistungen'!$L$229,0)</f>
        <v>0</v>
      </c>
      <c r="I184" s="155">
        <f>IF(I$110='weitere Besondere Leistungen'!$N$229,'weitere Besondere Leistungen'!$L$229,0)</f>
        <v>0</v>
      </c>
      <c r="J184" s="155">
        <f>IF(J$110='weitere Besondere Leistungen'!$N$229,'weitere Besondere Leistungen'!$L$229,0)</f>
        <v>0</v>
      </c>
      <c r="K184" s="156">
        <f>IF(K$110='weitere Besondere Leistungen'!$N$229,'weitere Besondere Leistungen'!$L$229,0)</f>
        <v>0</v>
      </c>
      <c r="X184" s="4"/>
      <c r="Y184" s="3"/>
      <c r="Z184" s="5"/>
    </row>
    <row r="185" spans="1:26" ht="14.55" x14ac:dyDescent="0.3">
      <c r="A185" s="299"/>
      <c r="B185" s="299"/>
      <c r="C185" s="154">
        <f>IF(C$110='weitere Besondere Leistungen'!$N$231,'weitere Besondere Leistungen'!$L$231,0)</f>
        <v>0</v>
      </c>
      <c r="D185" s="155">
        <f>IF(D$110='weitere Besondere Leistungen'!$N$231,'weitere Besondere Leistungen'!$L$231,0)</f>
        <v>0</v>
      </c>
      <c r="E185" s="155">
        <f>IF(E$110='weitere Besondere Leistungen'!$N$231,'weitere Besondere Leistungen'!$L$231,0)</f>
        <v>0</v>
      </c>
      <c r="F185" s="155">
        <f>IF(F$110='weitere Besondere Leistungen'!$N$231,'weitere Besondere Leistungen'!$L$231,0)</f>
        <v>0</v>
      </c>
      <c r="G185" s="155">
        <f>IF(G$110='weitere Besondere Leistungen'!$N$231,'weitere Besondere Leistungen'!$L$231,0)</f>
        <v>0</v>
      </c>
      <c r="H185" s="155">
        <f>IF(H$110='weitere Besondere Leistungen'!$N$231,'weitere Besondere Leistungen'!$L$231,0)</f>
        <v>0</v>
      </c>
      <c r="I185" s="155">
        <f>IF(I$110='weitere Besondere Leistungen'!$N$231,'weitere Besondere Leistungen'!$L$231,0)</f>
        <v>0</v>
      </c>
      <c r="J185" s="155">
        <f>IF(J$110='weitere Besondere Leistungen'!$N$231,'weitere Besondere Leistungen'!$L$231,0)</f>
        <v>0</v>
      </c>
      <c r="K185" s="156">
        <f>IF(K$110='weitere Besondere Leistungen'!$N$231,'weitere Besondere Leistungen'!$L$231,0)</f>
        <v>0</v>
      </c>
      <c r="X185" s="4"/>
      <c r="Y185" s="3"/>
      <c r="Z185" s="5"/>
    </row>
    <row r="186" spans="1:26" ht="14.55" x14ac:dyDescent="0.3">
      <c r="A186" s="299"/>
      <c r="B186" s="299"/>
      <c r="C186" s="154">
        <f>IF(C$110='weitere Besondere Leistungen'!$N$233,'weitere Besondere Leistungen'!$L$233,0)</f>
        <v>0</v>
      </c>
      <c r="D186" s="155">
        <f>IF(D$110='weitere Besondere Leistungen'!$N$233,'weitere Besondere Leistungen'!$L$233,0)</f>
        <v>0</v>
      </c>
      <c r="E186" s="155">
        <f>IF(E$110='weitere Besondere Leistungen'!$N$233,'weitere Besondere Leistungen'!$L$233,0)</f>
        <v>0</v>
      </c>
      <c r="F186" s="155">
        <f>IF(F$110='weitere Besondere Leistungen'!$N$233,'weitere Besondere Leistungen'!$L$233,0)</f>
        <v>0</v>
      </c>
      <c r="G186" s="155">
        <f>IF(G$110='weitere Besondere Leistungen'!$N$233,'weitere Besondere Leistungen'!$L$233,0)</f>
        <v>0</v>
      </c>
      <c r="H186" s="155">
        <f>IF(H$110='weitere Besondere Leistungen'!$N$233,'weitere Besondere Leistungen'!$L$233,0)</f>
        <v>0</v>
      </c>
      <c r="I186" s="155">
        <f>IF(I$110='weitere Besondere Leistungen'!$N$233,'weitere Besondere Leistungen'!$L$233,0)</f>
        <v>0</v>
      </c>
      <c r="J186" s="155">
        <f>IF(J$110='weitere Besondere Leistungen'!$N$233,'weitere Besondere Leistungen'!$L$233,0)</f>
        <v>0</v>
      </c>
      <c r="K186" s="156">
        <f>IF(K$110='weitere Besondere Leistungen'!$N$233,'weitere Besondere Leistungen'!$L$233,0)</f>
        <v>0</v>
      </c>
      <c r="X186" s="4"/>
      <c r="Y186" s="3"/>
      <c r="Z186" s="5"/>
    </row>
    <row r="187" spans="1:26" ht="14.55" x14ac:dyDescent="0.3">
      <c r="A187" s="299"/>
      <c r="B187" s="299"/>
      <c r="C187" s="154">
        <f>IF(C$110='weitere Besondere Leistungen'!$N$240,'weitere Besondere Leistungen'!$L$240,0)</f>
        <v>0</v>
      </c>
      <c r="D187" s="155">
        <f>IF(D$110='weitere Besondere Leistungen'!$N$240,'weitere Besondere Leistungen'!$L$240,0)</f>
        <v>0</v>
      </c>
      <c r="E187" s="155">
        <f>IF(E$110='weitere Besondere Leistungen'!$N$240,'weitere Besondere Leistungen'!$L$240,0)</f>
        <v>0</v>
      </c>
      <c r="F187" s="155">
        <f>IF(F$110='weitere Besondere Leistungen'!$N$240,'weitere Besondere Leistungen'!$L$240,0)</f>
        <v>0</v>
      </c>
      <c r="G187" s="155">
        <f>IF(G$110='weitere Besondere Leistungen'!$N$240,'weitere Besondere Leistungen'!$L$240,0)</f>
        <v>0</v>
      </c>
      <c r="H187" s="155">
        <f>IF(H$110='weitere Besondere Leistungen'!$N$240,'weitere Besondere Leistungen'!$L$240,0)</f>
        <v>0</v>
      </c>
      <c r="I187" s="155">
        <f>IF(I$110='weitere Besondere Leistungen'!$N$240,'weitere Besondere Leistungen'!$L$240,0)</f>
        <v>0</v>
      </c>
      <c r="J187" s="155">
        <f>IF(J$110='weitere Besondere Leistungen'!$N$240,'weitere Besondere Leistungen'!$L$240,0)</f>
        <v>0</v>
      </c>
      <c r="K187" s="156">
        <f>IF(K$110='weitere Besondere Leistungen'!$N$240,'weitere Besondere Leistungen'!$L$240,0)</f>
        <v>0</v>
      </c>
      <c r="X187" s="4"/>
      <c r="Y187" s="3"/>
      <c r="Z187" s="5"/>
    </row>
    <row r="188" spans="1:26" ht="14.55" x14ac:dyDescent="0.3">
      <c r="A188" s="299"/>
      <c r="B188" s="299"/>
      <c r="C188" s="154">
        <f>IF(C$110='weitere Besondere Leistungen'!$N$242,'weitere Besondere Leistungen'!$L$242,0)</f>
        <v>0</v>
      </c>
      <c r="D188" s="155">
        <f>IF(D$110='weitere Besondere Leistungen'!$N$242,'weitere Besondere Leistungen'!$L$242,0)</f>
        <v>0</v>
      </c>
      <c r="E188" s="155">
        <f>IF(E$110='weitere Besondere Leistungen'!$N$242,'weitere Besondere Leistungen'!$L$242,0)</f>
        <v>0</v>
      </c>
      <c r="F188" s="155">
        <f>IF(F$110='weitere Besondere Leistungen'!$N$242,'weitere Besondere Leistungen'!$L$242,0)</f>
        <v>0</v>
      </c>
      <c r="G188" s="155">
        <f>IF(G$110='weitere Besondere Leistungen'!$N$242,'weitere Besondere Leistungen'!$L$242,0)</f>
        <v>0</v>
      </c>
      <c r="H188" s="155">
        <f>IF(H$110='weitere Besondere Leistungen'!$N$242,'weitere Besondere Leistungen'!$L$242,0)</f>
        <v>0</v>
      </c>
      <c r="I188" s="155">
        <f>IF(I$110='weitere Besondere Leistungen'!$N$242,'weitere Besondere Leistungen'!$L$242,0)</f>
        <v>0</v>
      </c>
      <c r="J188" s="155">
        <f>IF(J$110='weitere Besondere Leistungen'!$N$242,'weitere Besondere Leistungen'!$L$242,0)</f>
        <v>0</v>
      </c>
      <c r="K188" s="156">
        <f>IF(K$110='weitere Besondere Leistungen'!$N$242,'weitere Besondere Leistungen'!$L$242,0)</f>
        <v>0</v>
      </c>
      <c r="X188" s="4"/>
      <c r="Y188" s="3"/>
      <c r="Z188" s="5"/>
    </row>
    <row r="189" spans="1:26" ht="14.55" x14ac:dyDescent="0.3">
      <c r="A189" s="299"/>
      <c r="B189" s="299"/>
      <c r="C189" s="154">
        <f>IF(C$110='weitere Besondere Leistungen'!$N$244,'weitere Besondere Leistungen'!$L$244,0)</f>
        <v>0</v>
      </c>
      <c r="D189" s="155">
        <f>IF(D$110='weitere Besondere Leistungen'!$N$244,'weitere Besondere Leistungen'!$L$244,0)</f>
        <v>0</v>
      </c>
      <c r="E189" s="155">
        <f>IF(E$110='weitere Besondere Leistungen'!$N$244,'weitere Besondere Leistungen'!$L$244,0)</f>
        <v>0</v>
      </c>
      <c r="F189" s="155">
        <f>IF(F$110='weitere Besondere Leistungen'!$N$244,'weitere Besondere Leistungen'!$L$244,0)</f>
        <v>0</v>
      </c>
      <c r="G189" s="155">
        <f>IF(G$110='weitere Besondere Leistungen'!$N$244,'weitere Besondere Leistungen'!$L$244,0)</f>
        <v>0</v>
      </c>
      <c r="H189" s="155">
        <f>IF(H$110='weitere Besondere Leistungen'!$N$244,'weitere Besondere Leistungen'!$L$244,0)</f>
        <v>0</v>
      </c>
      <c r="I189" s="155">
        <f>IF(I$110='weitere Besondere Leistungen'!$N$244,'weitere Besondere Leistungen'!$L$244,0)</f>
        <v>0</v>
      </c>
      <c r="J189" s="155">
        <f>IF(J$110='weitere Besondere Leistungen'!$N$244,'weitere Besondere Leistungen'!$L$244,0)</f>
        <v>0</v>
      </c>
      <c r="K189" s="156">
        <f>IF(K$110='weitere Besondere Leistungen'!$N$244,'weitere Besondere Leistungen'!$L$244,0)</f>
        <v>0</v>
      </c>
      <c r="X189" s="4"/>
      <c r="Y189" s="3"/>
      <c r="Z189" s="5"/>
    </row>
    <row r="190" spans="1:26" ht="14.55" x14ac:dyDescent="0.3">
      <c r="A190" s="299"/>
      <c r="B190" s="299"/>
      <c r="C190" s="154">
        <f>IF(C$110='weitere Besondere Leistungen'!$N$246,'weitere Besondere Leistungen'!$L$246,0)</f>
        <v>0</v>
      </c>
      <c r="D190" s="155">
        <f>IF(D$110='weitere Besondere Leistungen'!$N$246,'weitere Besondere Leistungen'!$L$246,0)</f>
        <v>0</v>
      </c>
      <c r="E190" s="155">
        <f>IF(E$110='weitere Besondere Leistungen'!$N$246,'weitere Besondere Leistungen'!$L$246,0)</f>
        <v>0</v>
      </c>
      <c r="F190" s="155">
        <f>IF(F$110='weitere Besondere Leistungen'!$N$246,'weitere Besondere Leistungen'!$L$246,0)</f>
        <v>0</v>
      </c>
      <c r="G190" s="155">
        <f>IF(G$110='weitere Besondere Leistungen'!$N$246,'weitere Besondere Leistungen'!$L$246,0)</f>
        <v>0</v>
      </c>
      <c r="H190" s="155">
        <f>IF(H$110='weitere Besondere Leistungen'!$N$246,'weitere Besondere Leistungen'!$L$246,0)</f>
        <v>0</v>
      </c>
      <c r="I190" s="155">
        <f>IF(I$110='weitere Besondere Leistungen'!$N$246,'weitere Besondere Leistungen'!$L$246,0)</f>
        <v>0</v>
      </c>
      <c r="J190" s="155">
        <f>IF(J$110='weitere Besondere Leistungen'!$N$246,'weitere Besondere Leistungen'!$L$246,0)</f>
        <v>0</v>
      </c>
      <c r="K190" s="156">
        <f>IF(K$110='weitere Besondere Leistungen'!$N$246,'weitere Besondere Leistungen'!$L$246,0)</f>
        <v>0</v>
      </c>
      <c r="X190" s="4"/>
      <c r="Y190" s="3"/>
      <c r="Z190" s="5"/>
    </row>
    <row r="191" spans="1:26" ht="14.55" x14ac:dyDescent="0.3">
      <c r="A191" s="299"/>
      <c r="B191" s="299"/>
      <c r="C191" s="154">
        <f>IF(C$110='weitere Besondere Leistungen'!$N$249,'weitere Besondere Leistungen'!$L$249,0)</f>
        <v>0</v>
      </c>
      <c r="D191" s="155">
        <f>IF(D$110='weitere Besondere Leistungen'!$N$249,'weitere Besondere Leistungen'!$L$249,0)</f>
        <v>0</v>
      </c>
      <c r="E191" s="155">
        <f>IF(E$110='weitere Besondere Leistungen'!$N$249,'weitere Besondere Leistungen'!$L$249,0)</f>
        <v>0</v>
      </c>
      <c r="F191" s="155">
        <f>IF(F$110='weitere Besondere Leistungen'!$N$249,'weitere Besondere Leistungen'!$L$249,0)</f>
        <v>0</v>
      </c>
      <c r="G191" s="155">
        <f>IF(G$110='weitere Besondere Leistungen'!$N$249,'weitere Besondere Leistungen'!$L$249,0)</f>
        <v>0</v>
      </c>
      <c r="H191" s="155">
        <f>IF(H$110='weitere Besondere Leistungen'!$N$249,'weitere Besondere Leistungen'!$L$249,0)</f>
        <v>0</v>
      </c>
      <c r="I191" s="155">
        <f>IF(I$110='weitere Besondere Leistungen'!$N$249,'weitere Besondere Leistungen'!$L$249,0)</f>
        <v>0</v>
      </c>
      <c r="J191" s="155">
        <f>IF(J$110='weitere Besondere Leistungen'!$N$249,'weitere Besondere Leistungen'!$L$249,0)</f>
        <v>0</v>
      </c>
      <c r="K191" s="156">
        <f>IF(K$110='weitere Besondere Leistungen'!$N$249,'weitere Besondere Leistungen'!$L$249,0)</f>
        <v>0</v>
      </c>
      <c r="X191" s="4"/>
      <c r="Y191" s="3"/>
      <c r="Z191" s="5"/>
    </row>
    <row r="192" spans="1:26" ht="14.55" x14ac:dyDescent="0.3">
      <c r="A192" s="299"/>
      <c r="B192" s="299"/>
      <c r="C192" s="154">
        <f>IF(C$110='weitere Besondere Leistungen'!$N$253,'weitere Besondere Leistungen'!$L$253,0)</f>
        <v>0</v>
      </c>
      <c r="D192" s="155">
        <f>IF(D$110='weitere Besondere Leistungen'!$N$253,'weitere Besondere Leistungen'!$L$253,0)</f>
        <v>0</v>
      </c>
      <c r="E192" s="155">
        <f>IF(E$110='weitere Besondere Leistungen'!$N$253,'weitere Besondere Leistungen'!$L$253,0)</f>
        <v>0</v>
      </c>
      <c r="F192" s="155">
        <f>IF(F$110='weitere Besondere Leistungen'!$N$253,'weitere Besondere Leistungen'!$L$253,0)</f>
        <v>0</v>
      </c>
      <c r="G192" s="155">
        <f>IF(G$110='weitere Besondere Leistungen'!$N$253,'weitere Besondere Leistungen'!$L$253,0)</f>
        <v>0</v>
      </c>
      <c r="H192" s="155">
        <f>IF(H$110='weitere Besondere Leistungen'!$N$253,'weitere Besondere Leistungen'!$L$253,0)</f>
        <v>0</v>
      </c>
      <c r="I192" s="155">
        <f>IF(I$110='weitere Besondere Leistungen'!$N$253,'weitere Besondere Leistungen'!$L$253,0)</f>
        <v>0</v>
      </c>
      <c r="J192" s="155">
        <f>IF(J$110='weitere Besondere Leistungen'!$N$253,'weitere Besondere Leistungen'!$L$253,0)</f>
        <v>0</v>
      </c>
      <c r="K192" s="156">
        <f>IF(K$110='weitere Besondere Leistungen'!$N$253,'weitere Besondere Leistungen'!$L$253,0)</f>
        <v>0</v>
      </c>
      <c r="X192" s="4"/>
      <c r="Y192" s="3"/>
      <c r="Z192" s="5"/>
    </row>
    <row r="193" spans="1:26" ht="14.55" x14ac:dyDescent="0.3">
      <c r="A193" s="299"/>
      <c r="B193" s="299"/>
      <c r="C193" s="154">
        <f>IF(C$110='weitere Besondere Leistungen'!$N$255,'weitere Besondere Leistungen'!$L$255,0)</f>
        <v>0</v>
      </c>
      <c r="D193" s="155">
        <f>IF(D$110='weitere Besondere Leistungen'!$N$255,'weitere Besondere Leistungen'!$L$255,0)</f>
        <v>0</v>
      </c>
      <c r="E193" s="155">
        <f>IF(E$110='weitere Besondere Leistungen'!$N$255,'weitere Besondere Leistungen'!$L$255,0)</f>
        <v>0</v>
      </c>
      <c r="F193" s="155">
        <f>IF(F$110='weitere Besondere Leistungen'!$N$255,'weitere Besondere Leistungen'!$L$255,0)</f>
        <v>0</v>
      </c>
      <c r="G193" s="155">
        <f>IF(G$110='weitere Besondere Leistungen'!$N$255,'weitere Besondere Leistungen'!$L$255,0)</f>
        <v>0</v>
      </c>
      <c r="H193" s="155">
        <f>IF(H$110='weitere Besondere Leistungen'!$N$255,'weitere Besondere Leistungen'!$L$255,0)</f>
        <v>0</v>
      </c>
      <c r="I193" s="155">
        <f>IF(I$110='weitere Besondere Leistungen'!$N$255,'weitere Besondere Leistungen'!$L$255,0)</f>
        <v>0</v>
      </c>
      <c r="J193" s="155">
        <f>IF(J$110='weitere Besondere Leistungen'!$N$255,'weitere Besondere Leistungen'!$L$255,0)</f>
        <v>0</v>
      </c>
      <c r="K193" s="156">
        <f>IF(K$110='weitere Besondere Leistungen'!$N$255,'weitere Besondere Leistungen'!$L$255,0)</f>
        <v>0</v>
      </c>
      <c r="X193" s="4"/>
      <c r="Y193" s="3"/>
      <c r="Z193" s="5"/>
    </row>
    <row r="194" spans="1:26" ht="14.55" x14ac:dyDescent="0.3">
      <c r="A194" s="299"/>
      <c r="B194" s="299"/>
      <c r="C194" s="154">
        <f>IF(C$110='weitere Besondere Leistungen'!$N$257,'weitere Besondere Leistungen'!$L$257,0)</f>
        <v>0</v>
      </c>
      <c r="D194" s="155">
        <f>IF(D$110='weitere Besondere Leistungen'!$N$257,'weitere Besondere Leistungen'!$L$257,0)</f>
        <v>0</v>
      </c>
      <c r="E194" s="155">
        <f>IF(E$110='weitere Besondere Leistungen'!$N$257,'weitere Besondere Leistungen'!$L$257,0)</f>
        <v>0</v>
      </c>
      <c r="F194" s="155">
        <f>IF(F$110='weitere Besondere Leistungen'!$N$257,'weitere Besondere Leistungen'!$L$257,0)</f>
        <v>0</v>
      </c>
      <c r="G194" s="155">
        <f>IF(G$110='weitere Besondere Leistungen'!$N$257,'weitere Besondere Leistungen'!$L$257,0)</f>
        <v>0</v>
      </c>
      <c r="H194" s="155">
        <f>IF(H$110='weitere Besondere Leistungen'!$N$257,'weitere Besondere Leistungen'!$L$257,0)</f>
        <v>0</v>
      </c>
      <c r="I194" s="155">
        <f>IF(I$110='weitere Besondere Leistungen'!$N$257,'weitere Besondere Leistungen'!$L$257,0)</f>
        <v>0</v>
      </c>
      <c r="J194" s="155">
        <f>IF(J$110='weitere Besondere Leistungen'!$N$257,'weitere Besondere Leistungen'!$L$257,0)</f>
        <v>0</v>
      </c>
      <c r="K194" s="156">
        <f>IF(K$110='weitere Besondere Leistungen'!$N$257,'weitere Besondere Leistungen'!$L$257,0)</f>
        <v>0</v>
      </c>
      <c r="X194" s="4"/>
      <c r="Y194" s="3"/>
      <c r="Z194" s="5"/>
    </row>
    <row r="195" spans="1:26" ht="14.55" x14ac:dyDescent="0.3">
      <c r="A195" s="299"/>
      <c r="B195" s="299"/>
      <c r="C195" s="154">
        <f>IF(C$110='weitere Besondere Leistungen'!$N$262,'weitere Besondere Leistungen'!$L$262,0)</f>
        <v>0</v>
      </c>
      <c r="D195" s="155">
        <f>IF(D$110='weitere Besondere Leistungen'!$N$262,'weitere Besondere Leistungen'!$L$262,0)</f>
        <v>0</v>
      </c>
      <c r="E195" s="155">
        <f>IF(E$110='weitere Besondere Leistungen'!$N$262,'weitere Besondere Leistungen'!$L$262,0)</f>
        <v>0</v>
      </c>
      <c r="F195" s="155">
        <f>IF(F$110='weitere Besondere Leistungen'!$N$262,'weitere Besondere Leistungen'!$L$262,0)</f>
        <v>0</v>
      </c>
      <c r="G195" s="155">
        <f>IF(G$110='weitere Besondere Leistungen'!$N$262,'weitere Besondere Leistungen'!$L$262,0)</f>
        <v>0</v>
      </c>
      <c r="H195" s="155">
        <f>IF(H$110='weitere Besondere Leistungen'!$N$262,'weitere Besondere Leistungen'!$L$262,0)</f>
        <v>0</v>
      </c>
      <c r="I195" s="155">
        <f>IF(I$110='weitere Besondere Leistungen'!$N$262,'weitere Besondere Leistungen'!$L$262,0)</f>
        <v>0</v>
      </c>
      <c r="J195" s="155">
        <f>IF(J$110='weitere Besondere Leistungen'!$N$262,'weitere Besondere Leistungen'!$L$262,0)</f>
        <v>0</v>
      </c>
      <c r="K195" s="156">
        <f>IF(K$110='weitere Besondere Leistungen'!$N$262,'weitere Besondere Leistungen'!$L$262,0)</f>
        <v>0</v>
      </c>
      <c r="X195" s="4"/>
      <c r="Y195" s="3"/>
      <c r="Z195" s="5"/>
    </row>
    <row r="196" spans="1:26" ht="14.55" x14ac:dyDescent="0.3">
      <c r="A196" s="299"/>
      <c r="B196" s="299"/>
      <c r="C196" s="154">
        <f>IF(C$110='weitere Besondere Leistungen'!$N$264,'weitere Besondere Leistungen'!$L$264,0)</f>
        <v>0</v>
      </c>
      <c r="D196" s="155">
        <f>IF(D$110='weitere Besondere Leistungen'!$N$264,'weitere Besondere Leistungen'!$L$264,0)</f>
        <v>0</v>
      </c>
      <c r="E196" s="155">
        <f>IF(E$110='weitere Besondere Leistungen'!$N$264,'weitere Besondere Leistungen'!$L$264,0)</f>
        <v>0</v>
      </c>
      <c r="F196" s="155">
        <f>IF(F$110='weitere Besondere Leistungen'!$N$264,'weitere Besondere Leistungen'!$L$264,0)</f>
        <v>0</v>
      </c>
      <c r="G196" s="155">
        <f>IF(G$110='weitere Besondere Leistungen'!$N$264,'weitere Besondere Leistungen'!$L$264,0)</f>
        <v>0</v>
      </c>
      <c r="H196" s="155">
        <f>IF(H$110='weitere Besondere Leistungen'!$N$264,'weitere Besondere Leistungen'!$L$264,0)</f>
        <v>0</v>
      </c>
      <c r="I196" s="155">
        <f>IF(I$110='weitere Besondere Leistungen'!$N$264,'weitere Besondere Leistungen'!$L$264,0)</f>
        <v>0</v>
      </c>
      <c r="J196" s="155">
        <f>IF(J$110='weitere Besondere Leistungen'!$N$264,'weitere Besondere Leistungen'!$L$264,0)</f>
        <v>0</v>
      </c>
      <c r="K196" s="156">
        <f>IF(K$110='weitere Besondere Leistungen'!$N$264,'weitere Besondere Leistungen'!$L$264,0)</f>
        <v>0</v>
      </c>
      <c r="X196" s="4"/>
      <c r="Y196" s="3"/>
      <c r="Z196" s="5"/>
    </row>
    <row r="197" spans="1:26" ht="14.55" x14ac:dyDescent="0.3">
      <c r="A197" s="299"/>
      <c r="B197" s="299"/>
      <c r="C197" s="154">
        <f>IF(C$110='weitere Besondere Leistungen'!$N$266,'weitere Besondere Leistungen'!$L$266,0)</f>
        <v>0</v>
      </c>
      <c r="D197" s="155">
        <f>IF(D$110='weitere Besondere Leistungen'!$N$266,'weitere Besondere Leistungen'!$L$266,0)</f>
        <v>0</v>
      </c>
      <c r="E197" s="155">
        <f>IF(E$110='weitere Besondere Leistungen'!$N$266,'weitere Besondere Leistungen'!$L$266,0)</f>
        <v>0</v>
      </c>
      <c r="F197" s="155">
        <f>IF(F$110='weitere Besondere Leistungen'!$N$266,'weitere Besondere Leistungen'!$L$266,0)</f>
        <v>0</v>
      </c>
      <c r="G197" s="155">
        <f>IF(G$110='weitere Besondere Leistungen'!$N$266,'weitere Besondere Leistungen'!$L$266,0)</f>
        <v>0</v>
      </c>
      <c r="H197" s="155">
        <f>IF(H$110='weitere Besondere Leistungen'!$N$266,'weitere Besondere Leistungen'!$L$266,0)</f>
        <v>0</v>
      </c>
      <c r="I197" s="155">
        <f>IF(I$110='weitere Besondere Leistungen'!$N$266,'weitere Besondere Leistungen'!$L$266,0)</f>
        <v>0</v>
      </c>
      <c r="J197" s="155">
        <f>IF(J$110='weitere Besondere Leistungen'!$N$266,'weitere Besondere Leistungen'!$L$266,0)</f>
        <v>0</v>
      </c>
      <c r="K197" s="156">
        <f>IF(K$110='weitere Besondere Leistungen'!$N$266,'weitere Besondere Leistungen'!$L$266,0)</f>
        <v>0</v>
      </c>
      <c r="X197" s="4"/>
      <c r="Y197" s="3"/>
      <c r="Z197" s="5"/>
    </row>
    <row r="198" spans="1:26" ht="14.55" x14ac:dyDescent="0.3">
      <c r="A198" s="299"/>
      <c r="B198" s="299"/>
      <c r="C198" s="154">
        <f>IF(C$110='weitere Besondere Leistungen'!$N$268,'weitere Besondere Leistungen'!$L$268,0)</f>
        <v>0</v>
      </c>
      <c r="D198" s="155">
        <f>IF(D$110='weitere Besondere Leistungen'!$N$268,'weitere Besondere Leistungen'!$L$268,0)</f>
        <v>0</v>
      </c>
      <c r="E198" s="155">
        <f>IF(E$110='weitere Besondere Leistungen'!$N$268,'weitere Besondere Leistungen'!$L$268,0)</f>
        <v>0</v>
      </c>
      <c r="F198" s="155">
        <f>IF(F$110='weitere Besondere Leistungen'!$N$268,'weitere Besondere Leistungen'!$L$268,0)</f>
        <v>0</v>
      </c>
      <c r="G198" s="155">
        <f>IF(G$110='weitere Besondere Leistungen'!$N$268,'weitere Besondere Leistungen'!$L$268,0)</f>
        <v>0</v>
      </c>
      <c r="H198" s="155">
        <f>IF(H$110='weitere Besondere Leistungen'!$N$268,'weitere Besondere Leistungen'!$L$268,0)</f>
        <v>0</v>
      </c>
      <c r="I198" s="155">
        <f>IF(I$110='weitere Besondere Leistungen'!$N$268,'weitere Besondere Leistungen'!$L$268,0)</f>
        <v>0</v>
      </c>
      <c r="J198" s="155">
        <f>IF(J$110='weitere Besondere Leistungen'!$N$268,'weitere Besondere Leistungen'!$L$268,0)</f>
        <v>0</v>
      </c>
      <c r="K198" s="156">
        <f>IF(K$110='weitere Besondere Leistungen'!$N$268,'weitere Besondere Leistungen'!$L$268,0)</f>
        <v>0</v>
      </c>
      <c r="X198" s="4"/>
      <c r="Y198" s="3"/>
      <c r="Z198" s="5"/>
    </row>
    <row r="199" spans="1:26" ht="14.55" x14ac:dyDescent="0.3">
      <c r="A199" s="299"/>
      <c r="B199" s="299"/>
      <c r="C199" s="154">
        <f>IF(C$110='weitere Besondere Leistungen'!$N$270,'weitere Besondere Leistungen'!$L$270,0)</f>
        <v>0</v>
      </c>
      <c r="D199" s="155">
        <f>IF(D$110='weitere Besondere Leistungen'!$N$270,'weitere Besondere Leistungen'!$L$270,0)</f>
        <v>0</v>
      </c>
      <c r="E199" s="155">
        <f>IF(E$110='weitere Besondere Leistungen'!$N$270,'weitere Besondere Leistungen'!$L$270,0)</f>
        <v>0</v>
      </c>
      <c r="F199" s="155">
        <f>IF(F$110='weitere Besondere Leistungen'!$N$270,'weitere Besondere Leistungen'!$L$270,0)</f>
        <v>0</v>
      </c>
      <c r="G199" s="155">
        <f>IF(G$110='weitere Besondere Leistungen'!$N$270,'weitere Besondere Leistungen'!$L$270,0)</f>
        <v>0</v>
      </c>
      <c r="H199" s="155">
        <f>IF(H$110='weitere Besondere Leistungen'!$N$270,'weitere Besondere Leistungen'!$L$270,0)</f>
        <v>0</v>
      </c>
      <c r="I199" s="155">
        <f>IF(I$110='weitere Besondere Leistungen'!$N$270,'weitere Besondere Leistungen'!$L$270,0)</f>
        <v>0</v>
      </c>
      <c r="J199" s="155">
        <f>IF(J$110='weitere Besondere Leistungen'!$N$270,'weitere Besondere Leistungen'!$L$270,0)</f>
        <v>0</v>
      </c>
      <c r="K199" s="156">
        <f>IF(K$110='weitere Besondere Leistungen'!$N$270,'weitere Besondere Leistungen'!$L$270,0)</f>
        <v>0</v>
      </c>
      <c r="X199" s="4"/>
      <c r="Y199" s="3"/>
      <c r="Z199" s="5"/>
    </row>
    <row r="200" spans="1:26" ht="14.55" x14ac:dyDescent="0.3">
      <c r="A200" s="299"/>
      <c r="B200" s="299"/>
      <c r="C200" s="154">
        <f>IF(C$110='weitere Besondere Leistungen'!$N$272,'weitere Besondere Leistungen'!$L$272,0)</f>
        <v>0</v>
      </c>
      <c r="D200" s="155">
        <f>IF(D$110='weitere Besondere Leistungen'!$N$272,'weitere Besondere Leistungen'!$L$272,0)</f>
        <v>0</v>
      </c>
      <c r="E200" s="155">
        <f>IF(E$110='weitere Besondere Leistungen'!$N$272,'weitere Besondere Leistungen'!$L$272,0)</f>
        <v>0</v>
      </c>
      <c r="F200" s="155">
        <f>IF(F$110='weitere Besondere Leistungen'!$N$272,'weitere Besondere Leistungen'!$L$272,0)</f>
        <v>0</v>
      </c>
      <c r="G200" s="155">
        <f>IF(G$110='weitere Besondere Leistungen'!$N$272,'weitere Besondere Leistungen'!$L$272,0)</f>
        <v>0</v>
      </c>
      <c r="H200" s="155">
        <f>IF(H$110='weitere Besondere Leistungen'!$N$272,'weitere Besondere Leistungen'!$L$272,0)</f>
        <v>0</v>
      </c>
      <c r="I200" s="155">
        <f>IF(I$110='weitere Besondere Leistungen'!$N$272,'weitere Besondere Leistungen'!$L$272,0)</f>
        <v>0</v>
      </c>
      <c r="J200" s="155">
        <f>IF(J$110='weitere Besondere Leistungen'!$N$272,'weitere Besondere Leistungen'!$L$272,0)</f>
        <v>0</v>
      </c>
      <c r="K200" s="156">
        <f>IF(K$110='weitere Besondere Leistungen'!$N$272,'weitere Besondere Leistungen'!$L$272,0)</f>
        <v>0</v>
      </c>
      <c r="X200" s="4"/>
      <c r="Y200" s="3"/>
      <c r="Z200" s="5"/>
    </row>
    <row r="201" spans="1:26" ht="14.55" x14ac:dyDescent="0.3">
      <c r="A201" s="299"/>
      <c r="B201" s="299"/>
      <c r="C201" s="154">
        <f>IF(C$110='weitere Besondere Leistungen'!$N$274,'weitere Besondere Leistungen'!$L$274,0)</f>
        <v>0</v>
      </c>
      <c r="D201" s="155">
        <f>IF(D$110='weitere Besondere Leistungen'!$N$274,'weitere Besondere Leistungen'!$L$274,0)</f>
        <v>0</v>
      </c>
      <c r="E201" s="155">
        <f>IF(E$110='weitere Besondere Leistungen'!$N$274,'weitere Besondere Leistungen'!$L$274,0)</f>
        <v>0</v>
      </c>
      <c r="F201" s="155">
        <f>IF(F$110='weitere Besondere Leistungen'!$N$274,'weitere Besondere Leistungen'!$L$274,0)</f>
        <v>0</v>
      </c>
      <c r="G201" s="155">
        <f>IF(G$110='weitere Besondere Leistungen'!$N$274,'weitere Besondere Leistungen'!$L$274,0)</f>
        <v>0</v>
      </c>
      <c r="H201" s="155">
        <f>IF(H$110='weitere Besondere Leistungen'!$N$274,'weitere Besondere Leistungen'!$L$274,0)</f>
        <v>0</v>
      </c>
      <c r="I201" s="155">
        <f>IF(I$110='weitere Besondere Leistungen'!$N$274,'weitere Besondere Leistungen'!$L$274,0)</f>
        <v>0</v>
      </c>
      <c r="J201" s="155">
        <f>IF(J$110='weitere Besondere Leistungen'!$N$274,'weitere Besondere Leistungen'!$L$274,0)</f>
        <v>0</v>
      </c>
      <c r="K201" s="156">
        <f>IF(K$110='weitere Besondere Leistungen'!$N$274,'weitere Besondere Leistungen'!$L$274,0)</f>
        <v>0</v>
      </c>
      <c r="X201" s="4"/>
      <c r="Y201" s="3"/>
      <c r="Z201" s="5"/>
    </row>
    <row r="202" spans="1:26" ht="14.55" x14ac:dyDescent="0.3">
      <c r="A202" s="299"/>
      <c r="B202" s="299"/>
      <c r="C202" s="154">
        <f>IF(C$110='weitere Besondere Leistungen'!$N$276,'weitere Besondere Leistungen'!$L$276,0)</f>
        <v>0</v>
      </c>
      <c r="D202" s="155">
        <f>IF(D$110='weitere Besondere Leistungen'!$N$276,'weitere Besondere Leistungen'!$L$276,0)</f>
        <v>0</v>
      </c>
      <c r="E202" s="155">
        <f>IF(E$110='weitere Besondere Leistungen'!$N$276,'weitere Besondere Leistungen'!$L$276,0)</f>
        <v>0</v>
      </c>
      <c r="F202" s="155">
        <f>IF(F$110='weitere Besondere Leistungen'!$N$276,'weitere Besondere Leistungen'!$L$276,0)</f>
        <v>0</v>
      </c>
      <c r="G202" s="155">
        <f>IF(G$110='weitere Besondere Leistungen'!$N$276,'weitere Besondere Leistungen'!$L$276,0)</f>
        <v>0</v>
      </c>
      <c r="H202" s="155">
        <f>IF(H$110='weitere Besondere Leistungen'!$N$276,'weitere Besondere Leistungen'!$L$276,0)</f>
        <v>0</v>
      </c>
      <c r="I202" s="155">
        <f>IF(I$110='weitere Besondere Leistungen'!$N$276,'weitere Besondere Leistungen'!$L$276,0)</f>
        <v>0</v>
      </c>
      <c r="J202" s="155">
        <f>IF(J$110='weitere Besondere Leistungen'!$N$276,'weitere Besondere Leistungen'!$L$276,0)</f>
        <v>0</v>
      </c>
      <c r="K202" s="156">
        <f>IF(K$110='weitere Besondere Leistungen'!$N$276,'weitere Besondere Leistungen'!$L$276,0)</f>
        <v>0</v>
      </c>
      <c r="X202" s="4"/>
      <c r="Y202" s="3"/>
      <c r="Z202" s="5"/>
    </row>
    <row r="203" spans="1:26" ht="14.55" x14ac:dyDescent="0.3">
      <c r="A203" s="299"/>
      <c r="B203" s="299"/>
      <c r="C203" s="154">
        <f>IF(C$110='weitere Besondere Leistungen'!$N$278,'weitere Besondere Leistungen'!$L$278,0)</f>
        <v>0</v>
      </c>
      <c r="D203" s="155">
        <f>IF(D$110='weitere Besondere Leistungen'!$N$278,'weitere Besondere Leistungen'!$L$278,0)</f>
        <v>0</v>
      </c>
      <c r="E203" s="155">
        <f>IF(E$110='weitere Besondere Leistungen'!$N$278,'weitere Besondere Leistungen'!$L$278,0)</f>
        <v>0</v>
      </c>
      <c r="F203" s="155">
        <f>IF(F$110='weitere Besondere Leistungen'!$N$278,'weitere Besondere Leistungen'!$L$278,0)</f>
        <v>0</v>
      </c>
      <c r="G203" s="155">
        <f>IF(G$110='weitere Besondere Leistungen'!$N$278,'weitere Besondere Leistungen'!$L$278,0)</f>
        <v>0</v>
      </c>
      <c r="H203" s="155">
        <f>IF(H$110='weitere Besondere Leistungen'!$N$278,'weitere Besondere Leistungen'!$L$278,0)</f>
        <v>0</v>
      </c>
      <c r="I203" s="155">
        <f>IF(I$110='weitere Besondere Leistungen'!$N$278,'weitere Besondere Leistungen'!$L$278,0)</f>
        <v>0</v>
      </c>
      <c r="J203" s="155">
        <f>IF(J$110='weitere Besondere Leistungen'!$N$278,'weitere Besondere Leistungen'!$L$278,0)</f>
        <v>0</v>
      </c>
      <c r="K203" s="156">
        <f>IF(K$110='weitere Besondere Leistungen'!$N$278,'weitere Besondere Leistungen'!$L$278,0)</f>
        <v>0</v>
      </c>
      <c r="X203" s="4"/>
      <c r="Y203" s="3"/>
      <c r="Z203" s="5"/>
    </row>
    <row r="204" spans="1:26" ht="14.55" x14ac:dyDescent="0.3">
      <c r="A204" s="299"/>
      <c r="B204" s="299"/>
      <c r="C204" s="154">
        <f>IF(C$110='weitere Besondere Leistungen'!$N$280,'weitere Besondere Leistungen'!$L$280,0)</f>
        <v>0</v>
      </c>
      <c r="D204" s="155">
        <f>IF(D$110='weitere Besondere Leistungen'!$N$280,'weitere Besondere Leistungen'!$L$280,0)</f>
        <v>0</v>
      </c>
      <c r="E204" s="155">
        <f>IF(E$110='weitere Besondere Leistungen'!$N$280,'weitere Besondere Leistungen'!$L$280,0)</f>
        <v>0</v>
      </c>
      <c r="F204" s="155">
        <f>IF(F$110='weitere Besondere Leistungen'!$N$280,'weitere Besondere Leistungen'!$L$280,0)</f>
        <v>0</v>
      </c>
      <c r="G204" s="155">
        <f>IF(G$110='weitere Besondere Leistungen'!$N$280,'weitere Besondere Leistungen'!$L$280,0)</f>
        <v>0</v>
      </c>
      <c r="H204" s="155">
        <f>IF(H$110='weitere Besondere Leistungen'!$N$280,'weitere Besondere Leistungen'!$L$280,0)</f>
        <v>0</v>
      </c>
      <c r="I204" s="155">
        <f>IF(I$110='weitere Besondere Leistungen'!$N$280,'weitere Besondere Leistungen'!$L$280,0)</f>
        <v>0</v>
      </c>
      <c r="J204" s="155">
        <f>IF(J$110='weitere Besondere Leistungen'!$N$280,'weitere Besondere Leistungen'!$L$280,0)</f>
        <v>0</v>
      </c>
      <c r="K204" s="156">
        <f>IF(K$110='weitere Besondere Leistungen'!$N$280,'weitere Besondere Leistungen'!$L$280,0)</f>
        <v>0</v>
      </c>
      <c r="X204" s="4"/>
      <c r="Y204" s="3"/>
      <c r="Z204" s="5"/>
    </row>
    <row r="205" spans="1:26" ht="14.55" x14ac:dyDescent="0.3">
      <c r="A205" s="299"/>
      <c r="B205" s="299"/>
      <c r="C205" s="154">
        <f>IF(C$110='weitere Besondere Leistungen'!$N$282,'weitere Besondere Leistungen'!$L$282,0)</f>
        <v>0</v>
      </c>
      <c r="D205" s="155">
        <f>IF(D$110='weitere Besondere Leistungen'!$N$282,'weitere Besondere Leistungen'!$L$282,0)</f>
        <v>0</v>
      </c>
      <c r="E205" s="155">
        <f>IF(E$110='weitere Besondere Leistungen'!$N$282,'weitere Besondere Leistungen'!$L$282,0)</f>
        <v>0</v>
      </c>
      <c r="F205" s="155">
        <f>IF(F$110='weitere Besondere Leistungen'!$N$282,'weitere Besondere Leistungen'!$L$282,0)</f>
        <v>0</v>
      </c>
      <c r="G205" s="155">
        <f>IF(G$110='weitere Besondere Leistungen'!$N$282,'weitere Besondere Leistungen'!$L$282,0)</f>
        <v>0</v>
      </c>
      <c r="H205" s="155">
        <f>IF(H$110='weitere Besondere Leistungen'!$N$282,'weitere Besondere Leistungen'!$L$282,0)</f>
        <v>0</v>
      </c>
      <c r="I205" s="155">
        <f>IF(I$110='weitere Besondere Leistungen'!$N$282,'weitere Besondere Leistungen'!$L$282,0)</f>
        <v>0</v>
      </c>
      <c r="J205" s="155">
        <f>IF(J$110='weitere Besondere Leistungen'!$N$282,'weitere Besondere Leistungen'!$L$282,0)</f>
        <v>0</v>
      </c>
      <c r="K205" s="156">
        <f>IF(K$110='weitere Besondere Leistungen'!$N$282,'weitere Besondere Leistungen'!$L$282,0)</f>
        <v>0</v>
      </c>
      <c r="X205" s="4"/>
      <c r="Y205" s="3"/>
      <c r="Z205" s="5"/>
    </row>
    <row r="206" spans="1:26" ht="14.55" x14ac:dyDescent="0.3">
      <c r="A206" s="299"/>
      <c r="B206" s="299"/>
      <c r="C206" s="154">
        <f>IF(C$110='weitere Besondere Leistungen'!$N$284,'weitere Besondere Leistungen'!$L$284,0)</f>
        <v>0</v>
      </c>
      <c r="D206" s="155">
        <f>IF(D$110='weitere Besondere Leistungen'!$N$284,'weitere Besondere Leistungen'!$L$284,0)</f>
        <v>0</v>
      </c>
      <c r="E206" s="155">
        <f>IF(E$110='weitere Besondere Leistungen'!$N$284,'weitere Besondere Leistungen'!$L$284,0)</f>
        <v>0</v>
      </c>
      <c r="F206" s="155">
        <f>IF(F$110='weitere Besondere Leistungen'!$N$284,'weitere Besondere Leistungen'!$L$284,0)</f>
        <v>0</v>
      </c>
      <c r="G206" s="155">
        <f>IF(G$110='weitere Besondere Leistungen'!$N$284,'weitere Besondere Leistungen'!$L$284,0)</f>
        <v>0</v>
      </c>
      <c r="H206" s="155">
        <f>IF(H$110='weitere Besondere Leistungen'!$N$284,'weitere Besondere Leistungen'!$L$284,0)</f>
        <v>0</v>
      </c>
      <c r="I206" s="155">
        <f>IF(I$110='weitere Besondere Leistungen'!$N$284,'weitere Besondere Leistungen'!$L$284,0)</f>
        <v>0</v>
      </c>
      <c r="J206" s="155">
        <f>IF(J$110='weitere Besondere Leistungen'!$N$284,'weitere Besondere Leistungen'!$L$284,0)</f>
        <v>0</v>
      </c>
      <c r="K206" s="156">
        <f>IF(K$110='weitere Besondere Leistungen'!$N$284,'weitere Besondere Leistungen'!$L$284,0)</f>
        <v>0</v>
      </c>
      <c r="X206" s="4"/>
      <c r="Y206" s="3"/>
      <c r="Z206" s="5"/>
    </row>
    <row r="207" spans="1:26" ht="14.55" x14ac:dyDescent="0.3">
      <c r="A207" s="299"/>
      <c r="B207" s="299"/>
      <c r="C207" s="154">
        <f>IF(C$110='weitere Besondere Leistungen'!$N$286,'weitere Besondere Leistungen'!$L$286,0)</f>
        <v>0</v>
      </c>
      <c r="D207" s="155">
        <f>IF(D$110='weitere Besondere Leistungen'!$N$286,'weitere Besondere Leistungen'!$L$286,0)</f>
        <v>0</v>
      </c>
      <c r="E207" s="155">
        <f>IF(E$110='weitere Besondere Leistungen'!$N$286,'weitere Besondere Leistungen'!$L$286,0)</f>
        <v>0</v>
      </c>
      <c r="F207" s="155">
        <f>IF(F$110='weitere Besondere Leistungen'!$N$286,'weitere Besondere Leistungen'!$L$286,0)</f>
        <v>0</v>
      </c>
      <c r="G207" s="155">
        <f>IF(G$110='weitere Besondere Leistungen'!$N$286,'weitere Besondere Leistungen'!$L$286,0)</f>
        <v>0</v>
      </c>
      <c r="H207" s="155">
        <f>IF(H$110='weitere Besondere Leistungen'!$N$286,'weitere Besondere Leistungen'!$L$286,0)</f>
        <v>0</v>
      </c>
      <c r="I207" s="155">
        <f>IF(I$110='weitere Besondere Leistungen'!$N$286,'weitere Besondere Leistungen'!$L$286,0)</f>
        <v>0</v>
      </c>
      <c r="J207" s="155">
        <f>IF(J$110='weitere Besondere Leistungen'!$N$286,'weitere Besondere Leistungen'!$L$286,0)</f>
        <v>0</v>
      </c>
      <c r="K207" s="156">
        <f>IF(K$110='weitere Besondere Leistungen'!$N$286,'weitere Besondere Leistungen'!$L$286,0)</f>
        <v>0</v>
      </c>
      <c r="X207" s="4"/>
      <c r="Y207" s="3"/>
      <c r="Z207" s="5"/>
    </row>
    <row r="208" spans="1:26" ht="14.55" x14ac:dyDescent="0.3">
      <c r="A208" s="299"/>
      <c r="B208" s="299"/>
      <c r="C208" s="154">
        <f>IF(C$110='weitere Besondere Leistungen'!$N$288,'weitere Besondere Leistungen'!$L$288,0)</f>
        <v>0</v>
      </c>
      <c r="D208" s="155">
        <f>IF(D$110='weitere Besondere Leistungen'!$N$288,'weitere Besondere Leistungen'!$L$288,0)</f>
        <v>0</v>
      </c>
      <c r="E208" s="155">
        <f>IF(E$110='weitere Besondere Leistungen'!$N$288,'weitere Besondere Leistungen'!$L$288,0)</f>
        <v>0</v>
      </c>
      <c r="F208" s="155">
        <f>IF(F$110='weitere Besondere Leistungen'!$N$288,'weitere Besondere Leistungen'!$L$288,0)</f>
        <v>0</v>
      </c>
      <c r="G208" s="155">
        <f>IF(G$110='weitere Besondere Leistungen'!$N$288,'weitere Besondere Leistungen'!$L$288,0)</f>
        <v>0</v>
      </c>
      <c r="H208" s="155">
        <f>IF(H$110='weitere Besondere Leistungen'!$N$288,'weitere Besondere Leistungen'!$L$288,0)</f>
        <v>0</v>
      </c>
      <c r="I208" s="155">
        <f>IF(I$110='weitere Besondere Leistungen'!$N$288,'weitere Besondere Leistungen'!$L$288,0)</f>
        <v>0</v>
      </c>
      <c r="J208" s="155">
        <f>IF(J$110='weitere Besondere Leistungen'!$N$288,'weitere Besondere Leistungen'!$L$288,0)</f>
        <v>0</v>
      </c>
      <c r="K208" s="156">
        <f>IF(K$110='weitere Besondere Leistungen'!$N$288,'weitere Besondere Leistungen'!$L$288,0)</f>
        <v>0</v>
      </c>
      <c r="X208" s="4"/>
      <c r="Y208" s="3"/>
      <c r="Z208" s="5"/>
    </row>
    <row r="209" spans="1:26" ht="14.55" x14ac:dyDescent="0.3">
      <c r="A209" s="299"/>
      <c r="B209" s="299"/>
      <c r="C209" s="154">
        <f>IF(C$110='weitere Besondere Leistungen'!$N$290,'weitere Besondere Leistungen'!$L$290,0)</f>
        <v>0</v>
      </c>
      <c r="D209" s="155">
        <f>IF(D$110='weitere Besondere Leistungen'!$N$290,'weitere Besondere Leistungen'!$L$290,0)</f>
        <v>0</v>
      </c>
      <c r="E209" s="155">
        <f>IF(E$110='weitere Besondere Leistungen'!$N$290,'weitere Besondere Leistungen'!$L$290,0)</f>
        <v>0</v>
      </c>
      <c r="F209" s="155">
        <f>IF(F$110='weitere Besondere Leistungen'!$N$290,'weitere Besondere Leistungen'!$L$290,0)</f>
        <v>0</v>
      </c>
      <c r="G209" s="155">
        <f>IF(G$110='weitere Besondere Leistungen'!$N$290,'weitere Besondere Leistungen'!$L$290,0)</f>
        <v>0</v>
      </c>
      <c r="H209" s="155">
        <f>IF(H$110='weitere Besondere Leistungen'!$N$290,'weitere Besondere Leistungen'!$L$290,0)</f>
        <v>0</v>
      </c>
      <c r="I209" s="155">
        <f>IF(I$110='weitere Besondere Leistungen'!$N$290,'weitere Besondere Leistungen'!$L$290,0)</f>
        <v>0</v>
      </c>
      <c r="J209" s="155">
        <f>IF(J$110='weitere Besondere Leistungen'!$N$290,'weitere Besondere Leistungen'!$L$290,0)</f>
        <v>0</v>
      </c>
      <c r="K209" s="156">
        <f>IF(K$110='weitere Besondere Leistungen'!$N$290,'weitere Besondere Leistungen'!$L$290,0)</f>
        <v>0</v>
      </c>
      <c r="X209" s="4"/>
      <c r="Y209" s="3"/>
      <c r="Z209" s="5"/>
    </row>
    <row r="210" spans="1:26" ht="14.55" x14ac:dyDescent="0.3">
      <c r="A210" s="299"/>
      <c r="B210" s="299"/>
      <c r="C210" s="154">
        <f>IF(C$110='weitere Besondere Leistungen'!$N$292,'weitere Besondere Leistungen'!$L$292,0)</f>
        <v>0</v>
      </c>
      <c r="D210" s="155">
        <f>IF(D$110='weitere Besondere Leistungen'!$N$292,'weitere Besondere Leistungen'!$L$292,0)</f>
        <v>0</v>
      </c>
      <c r="E210" s="155">
        <f>IF(E$110='weitere Besondere Leistungen'!$N$292,'weitere Besondere Leistungen'!$L$292,0)</f>
        <v>0</v>
      </c>
      <c r="F210" s="155">
        <f>IF(F$110='weitere Besondere Leistungen'!$N$292,'weitere Besondere Leistungen'!$L$292,0)</f>
        <v>0</v>
      </c>
      <c r="G210" s="155">
        <f>IF(G$110='weitere Besondere Leistungen'!$N$292,'weitere Besondere Leistungen'!$L$292,0)</f>
        <v>0</v>
      </c>
      <c r="H210" s="155">
        <f>IF(H$110='weitere Besondere Leistungen'!$N$292,'weitere Besondere Leistungen'!$L$292,0)</f>
        <v>0</v>
      </c>
      <c r="I210" s="155">
        <f>IF(I$110='weitere Besondere Leistungen'!$N$292,'weitere Besondere Leistungen'!$L$292,0)</f>
        <v>0</v>
      </c>
      <c r="J210" s="155">
        <f>IF(J$110='weitere Besondere Leistungen'!$N$292,'weitere Besondere Leistungen'!$L$292,0)</f>
        <v>0</v>
      </c>
      <c r="K210" s="156">
        <f>IF(K$110='weitere Besondere Leistungen'!$N$292,'weitere Besondere Leistungen'!$L$292,0)</f>
        <v>0</v>
      </c>
      <c r="X210" s="4"/>
      <c r="Y210" s="3"/>
      <c r="Z210" s="5"/>
    </row>
    <row r="211" spans="1:26" ht="14.55" x14ac:dyDescent="0.3">
      <c r="A211" s="299"/>
      <c r="B211" s="299"/>
      <c r="C211" s="154">
        <f>IF(C$110='weitere Besondere Leistungen'!$N$295,'weitere Besondere Leistungen'!$L$295,0)</f>
        <v>0</v>
      </c>
      <c r="D211" s="155">
        <f>IF(D$110='weitere Besondere Leistungen'!$N$295,'weitere Besondere Leistungen'!$L$295,0)</f>
        <v>0</v>
      </c>
      <c r="E211" s="155">
        <f>IF(E$110='weitere Besondere Leistungen'!$N$295,'weitere Besondere Leistungen'!$L$295,0)</f>
        <v>0</v>
      </c>
      <c r="F211" s="155">
        <f>IF(F$110='weitere Besondere Leistungen'!$N$295,'weitere Besondere Leistungen'!$L$295,0)</f>
        <v>0</v>
      </c>
      <c r="G211" s="155">
        <f>IF(G$110='weitere Besondere Leistungen'!$N$295,'weitere Besondere Leistungen'!$L$295,0)</f>
        <v>0</v>
      </c>
      <c r="H211" s="155">
        <f>IF(H$110='weitere Besondere Leistungen'!$N$295,'weitere Besondere Leistungen'!$L$295,0)</f>
        <v>0</v>
      </c>
      <c r="I211" s="155">
        <f>IF(I$110='weitere Besondere Leistungen'!$N$295,'weitere Besondere Leistungen'!$L$295,0)</f>
        <v>0</v>
      </c>
      <c r="J211" s="155">
        <f>IF(J$110='weitere Besondere Leistungen'!$N$295,'weitere Besondere Leistungen'!$L$295,0)</f>
        <v>0</v>
      </c>
      <c r="K211" s="156">
        <f>IF(K$110='weitere Besondere Leistungen'!$N$295,'weitere Besondere Leistungen'!$L$295,0)</f>
        <v>0</v>
      </c>
      <c r="X211" s="4"/>
      <c r="Y211" s="3"/>
      <c r="Z211" s="5"/>
    </row>
    <row r="212" spans="1:26" ht="14.55" x14ac:dyDescent="0.3">
      <c r="A212" s="299"/>
      <c r="B212" s="299"/>
      <c r="C212" s="154">
        <f>IF(C$110='weitere Besondere Leistungen'!$N$297,'weitere Besondere Leistungen'!$L$297,0)</f>
        <v>0</v>
      </c>
      <c r="D212" s="155">
        <f>IF(D$110='weitere Besondere Leistungen'!$N$297,'weitere Besondere Leistungen'!$L$297,0)</f>
        <v>0</v>
      </c>
      <c r="E212" s="155">
        <f>IF(E$110='weitere Besondere Leistungen'!$N$297,'weitere Besondere Leistungen'!$L$297,0)</f>
        <v>0</v>
      </c>
      <c r="F212" s="155">
        <f>IF(F$110='weitere Besondere Leistungen'!$N$297,'weitere Besondere Leistungen'!$L$297,0)</f>
        <v>0</v>
      </c>
      <c r="G212" s="155">
        <f>IF(G$110='weitere Besondere Leistungen'!$N$297,'weitere Besondere Leistungen'!$L$297,0)</f>
        <v>0</v>
      </c>
      <c r="H212" s="155">
        <f>IF(H$110='weitere Besondere Leistungen'!$N$297,'weitere Besondere Leistungen'!$L$297,0)</f>
        <v>0</v>
      </c>
      <c r="I212" s="155">
        <f>IF(I$110='weitere Besondere Leistungen'!$N$297,'weitere Besondere Leistungen'!$L$297,0)</f>
        <v>0</v>
      </c>
      <c r="J212" s="155">
        <f>IF(J$110='weitere Besondere Leistungen'!$N$297,'weitere Besondere Leistungen'!$L$297,0)</f>
        <v>0</v>
      </c>
      <c r="K212" s="156">
        <f>IF(K$110='weitere Besondere Leistungen'!$N$297,'weitere Besondere Leistungen'!$L$297,0)</f>
        <v>0</v>
      </c>
      <c r="X212" s="4"/>
      <c r="Y212" s="3"/>
      <c r="Z212" s="5"/>
    </row>
    <row r="213" spans="1:26" ht="14.55" x14ac:dyDescent="0.3">
      <c r="A213" s="299"/>
      <c r="B213" s="299"/>
      <c r="C213" s="154">
        <f>IF(C$110='weitere Besondere Leistungen'!$N$300,'weitere Besondere Leistungen'!$L$300,0)</f>
        <v>0</v>
      </c>
      <c r="D213" s="155">
        <f>IF(D$110='weitere Besondere Leistungen'!$N$300,'weitere Besondere Leistungen'!$L$300,0)</f>
        <v>0</v>
      </c>
      <c r="E213" s="155">
        <f>IF(E$110='weitere Besondere Leistungen'!$N$300,'weitere Besondere Leistungen'!$L$300,0)</f>
        <v>0</v>
      </c>
      <c r="F213" s="155">
        <f>IF(F$110='weitere Besondere Leistungen'!$N$300,'weitere Besondere Leistungen'!$L$300,0)</f>
        <v>0</v>
      </c>
      <c r="G213" s="155">
        <f>IF(G$110='weitere Besondere Leistungen'!$N$300,'weitere Besondere Leistungen'!$L$300,0)</f>
        <v>0</v>
      </c>
      <c r="H213" s="155">
        <f>IF(H$110='weitere Besondere Leistungen'!$N$300,'weitere Besondere Leistungen'!$L$300,0)</f>
        <v>0</v>
      </c>
      <c r="I213" s="155">
        <f>IF(I$110='weitere Besondere Leistungen'!$N$300,'weitere Besondere Leistungen'!$L$300,0)</f>
        <v>0</v>
      </c>
      <c r="J213" s="155">
        <f>IF(J$110='weitere Besondere Leistungen'!$N$300,'weitere Besondere Leistungen'!$L$300,0)</f>
        <v>0</v>
      </c>
      <c r="K213" s="156">
        <f>IF(K$110='weitere Besondere Leistungen'!$N$300,'weitere Besondere Leistungen'!$L$300,0)</f>
        <v>0</v>
      </c>
      <c r="X213" s="4"/>
      <c r="Y213" s="3"/>
      <c r="Z213" s="5"/>
    </row>
    <row r="214" spans="1:26" ht="14.55" x14ac:dyDescent="0.3">
      <c r="A214" s="299"/>
      <c r="B214" s="299"/>
      <c r="C214" s="154">
        <f>IF(C$110='weitere Besondere Leistungen'!$N$302,'weitere Besondere Leistungen'!$L$302,0)</f>
        <v>0</v>
      </c>
      <c r="D214" s="155">
        <f>IF(D$110='weitere Besondere Leistungen'!$N$302,'weitere Besondere Leistungen'!$L$302,0)</f>
        <v>0</v>
      </c>
      <c r="E214" s="155">
        <f>IF(E$110='weitere Besondere Leistungen'!$N$302,'weitere Besondere Leistungen'!$L$302,0)</f>
        <v>0</v>
      </c>
      <c r="F214" s="155">
        <f>IF(F$110='weitere Besondere Leistungen'!$N$302,'weitere Besondere Leistungen'!$L$302,0)</f>
        <v>0</v>
      </c>
      <c r="G214" s="155">
        <f>IF(G$110='weitere Besondere Leistungen'!$N$302,'weitere Besondere Leistungen'!$L$302,0)</f>
        <v>0</v>
      </c>
      <c r="H214" s="155">
        <f>IF(H$110='weitere Besondere Leistungen'!$N$302,'weitere Besondere Leistungen'!$L$302,0)</f>
        <v>0</v>
      </c>
      <c r="I214" s="155">
        <f>IF(I$110='weitere Besondere Leistungen'!$N$302,'weitere Besondere Leistungen'!$L$302,0)</f>
        <v>0</v>
      </c>
      <c r="J214" s="155">
        <f>IF(J$110='weitere Besondere Leistungen'!$N$302,'weitere Besondere Leistungen'!$L$302,0)</f>
        <v>0</v>
      </c>
      <c r="K214" s="156">
        <f>IF(K$110='weitere Besondere Leistungen'!$N$302,'weitere Besondere Leistungen'!$L$302,0)</f>
        <v>0</v>
      </c>
      <c r="X214" s="4"/>
      <c r="Y214" s="3"/>
      <c r="Z214" s="5"/>
    </row>
    <row r="215" spans="1:26" ht="14.55" x14ac:dyDescent="0.3">
      <c r="A215" s="299"/>
      <c r="B215" s="299"/>
      <c r="C215" s="154">
        <f>IF(C$110='weitere Besondere Leistungen'!$N$304,'weitere Besondere Leistungen'!$L$304,0)</f>
        <v>0</v>
      </c>
      <c r="D215" s="155">
        <f>IF(D$110='weitere Besondere Leistungen'!$N$304,'weitere Besondere Leistungen'!$L$304,0)</f>
        <v>0</v>
      </c>
      <c r="E215" s="155">
        <f>IF(E$110='weitere Besondere Leistungen'!$N$304,'weitere Besondere Leistungen'!$L$304,0)</f>
        <v>0</v>
      </c>
      <c r="F215" s="155">
        <f>IF(F$110='weitere Besondere Leistungen'!$N$304,'weitere Besondere Leistungen'!$L$304,0)</f>
        <v>0</v>
      </c>
      <c r="G215" s="155">
        <f>IF(G$110='weitere Besondere Leistungen'!$N$304,'weitere Besondere Leistungen'!$L$304,0)</f>
        <v>0</v>
      </c>
      <c r="H215" s="155">
        <f>IF(H$110='weitere Besondere Leistungen'!$N$304,'weitere Besondere Leistungen'!$L$304,0)</f>
        <v>0</v>
      </c>
      <c r="I215" s="155">
        <f>IF(I$110='weitere Besondere Leistungen'!$N$304,'weitere Besondere Leistungen'!$L$304,0)</f>
        <v>0</v>
      </c>
      <c r="J215" s="155">
        <f>IF(J$110='weitere Besondere Leistungen'!$N$304,'weitere Besondere Leistungen'!$L$304,0)</f>
        <v>0</v>
      </c>
      <c r="K215" s="156">
        <f>IF(K$110='weitere Besondere Leistungen'!$N$304,'weitere Besondere Leistungen'!$L$304,0)</f>
        <v>0</v>
      </c>
      <c r="X215" s="4"/>
      <c r="Y215" s="3"/>
      <c r="Z215" s="5"/>
    </row>
    <row r="216" spans="1:26" ht="14.55" x14ac:dyDescent="0.3">
      <c r="A216" s="299"/>
      <c r="B216" s="299"/>
      <c r="C216" s="154">
        <f>IF(C$110='weitere Besondere Leistungen'!$N$306,'weitere Besondere Leistungen'!$L$306,0)</f>
        <v>0</v>
      </c>
      <c r="D216" s="155">
        <f>IF(D$110='weitere Besondere Leistungen'!$N$306,'weitere Besondere Leistungen'!$L$306,0)</f>
        <v>0</v>
      </c>
      <c r="E216" s="155">
        <f>IF(E$110='weitere Besondere Leistungen'!$N$306,'weitere Besondere Leistungen'!$L$306,0)</f>
        <v>0</v>
      </c>
      <c r="F216" s="155">
        <f>IF(F$110='weitere Besondere Leistungen'!$N$306,'weitere Besondere Leistungen'!$L$306,0)</f>
        <v>0</v>
      </c>
      <c r="G216" s="155">
        <f>IF(G$110='weitere Besondere Leistungen'!$N$306,'weitere Besondere Leistungen'!$L$306,0)</f>
        <v>0</v>
      </c>
      <c r="H216" s="155">
        <f>IF(H$110='weitere Besondere Leistungen'!$N$306,'weitere Besondere Leistungen'!$L$306,0)</f>
        <v>0</v>
      </c>
      <c r="I216" s="155">
        <f>IF(I$110='weitere Besondere Leistungen'!$N$306,'weitere Besondere Leistungen'!$L$306,0)</f>
        <v>0</v>
      </c>
      <c r="J216" s="155">
        <f>IF(J$110='weitere Besondere Leistungen'!$N$306,'weitere Besondere Leistungen'!$L$306,0)</f>
        <v>0</v>
      </c>
      <c r="K216" s="156">
        <f>IF(K$110='weitere Besondere Leistungen'!$N$306,'weitere Besondere Leistungen'!$L$306,0)</f>
        <v>0</v>
      </c>
      <c r="X216" s="4"/>
      <c r="Y216" s="3"/>
      <c r="Z216" s="5"/>
    </row>
    <row r="217" spans="1:26" ht="14.55" x14ac:dyDescent="0.3">
      <c r="A217" s="299"/>
      <c r="B217" s="299"/>
      <c r="C217" s="154">
        <f>IF(C$110='weitere Besondere Leistungen'!$N$308,'weitere Besondere Leistungen'!$L$308,0)</f>
        <v>0</v>
      </c>
      <c r="D217" s="155">
        <f>IF(D$110='weitere Besondere Leistungen'!$N$308,'weitere Besondere Leistungen'!$L$308,0)</f>
        <v>0</v>
      </c>
      <c r="E217" s="155">
        <f>IF(E$110='weitere Besondere Leistungen'!$N$308,'weitere Besondere Leistungen'!$L$308,0)</f>
        <v>0</v>
      </c>
      <c r="F217" s="155">
        <f>IF(F$110='weitere Besondere Leistungen'!$N$308,'weitere Besondere Leistungen'!$L$308,0)</f>
        <v>0</v>
      </c>
      <c r="G217" s="155">
        <f>IF(G$110='weitere Besondere Leistungen'!$N$308,'weitere Besondere Leistungen'!$L$308,0)</f>
        <v>0</v>
      </c>
      <c r="H217" s="155">
        <f>IF(H$110='weitere Besondere Leistungen'!$N$308,'weitere Besondere Leistungen'!$L$308,0)</f>
        <v>0</v>
      </c>
      <c r="I217" s="155">
        <f>IF(I$110='weitere Besondere Leistungen'!$N$308,'weitere Besondere Leistungen'!$L$308,0)</f>
        <v>0</v>
      </c>
      <c r="J217" s="155">
        <f>IF(J$110='weitere Besondere Leistungen'!$N$308,'weitere Besondere Leistungen'!$L$308,0)</f>
        <v>0</v>
      </c>
      <c r="K217" s="156">
        <f>IF(K$110='weitere Besondere Leistungen'!$N$308,'weitere Besondere Leistungen'!$L$308,0)</f>
        <v>0</v>
      </c>
      <c r="X217" s="4"/>
      <c r="Y217" s="3"/>
      <c r="Z217" s="5"/>
    </row>
    <row r="218" spans="1:26" ht="14.55" x14ac:dyDescent="0.3">
      <c r="A218" s="299"/>
      <c r="B218" s="299"/>
      <c r="C218" s="154">
        <f>IF(C$110='weitere Besondere Leistungen'!$N$310,'weitere Besondere Leistungen'!$L$310,0)</f>
        <v>0</v>
      </c>
      <c r="D218" s="155">
        <f>IF(D$110='weitere Besondere Leistungen'!$N$310,'weitere Besondere Leistungen'!$L$310,0)</f>
        <v>0</v>
      </c>
      <c r="E218" s="155">
        <f>IF(E$110='weitere Besondere Leistungen'!$N$310,'weitere Besondere Leistungen'!$L$310,0)</f>
        <v>0</v>
      </c>
      <c r="F218" s="155">
        <f>IF(F$110='weitere Besondere Leistungen'!$N$310,'weitere Besondere Leistungen'!$L$310,0)</f>
        <v>0</v>
      </c>
      <c r="G218" s="155">
        <f>IF(G$110='weitere Besondere Leistungen'!$N$310,'weitere Besondere Leistungen'!$L$310,0)</f>
        <v>0</v>
      </c>
      <c r="H218" s="155">
        <f>IF(H$110='weitere Besondere Leistungen'!$N$310,'weitere Besondere Leistungen'!$L$310,0)</f>
        <v>0</v>
      </c>
      <c r="I218" s="155">
        <f>IF(I$110='weitere Besondere Leistungen'!$N$310,'weitere Besondere Leistungen'!$L$310,0)</f>
        <v>0</v>
      </c>
      <c r="J218" s="155">
        <f>IF(J$110='weitere Besondere Leistungen'!$N$310,'weitere Besondere Leistungen'!$L$310,0)</f>
        <v>0</v>
      </c>
      <c r="K218" s="156">
        <f>IF(K$110='weitere Besondere Leistungen'!$N$310,'weitere Besondere Leistungen'!$L$310,0)</f>
        <v>0</v>
      </c>
      <c r="X218" s="4"/>
      <c r="Y218" s="3"/>
      <c r="Z218" s="5"/>
    </row>
    <row r="219" spans="1:26" ht="14.55" x14ac:dyDescent="0.3">
      <c r="A219" s="299"/>
      <c r="B219" s="299"/>
      <c r="C219" s="154">
        <f>IF(C$110='weitere Besondere Leistungen'!$N$312,'weitere Besondere Leistungen'!$L$312,0)</f>
        <v>0</v>
      </c>
      <c r="D219" s="155">
        <f>IF(D$110='weitere Besondere Leistungen'!$N$312,'weitere Besondere Leistungen'!$L$312,0)</f>
        <v>0</v>
      </c>
      <c r="E219" s="155">
        <f>IF(E$110='weitere Besondere Leistungen'!$N$312,'weitere Besondere Leistungen'!$L$312,0)</f>
        <v>0</v>
      </c>
      <c r="F219" s="155">
        <f>IF(F$110='weitere Besondere Leistungen'!$N$312,'weitere Besondere Leistungen'!$L$312,0)</f>
        <v>0</v>
      </c>
      <c r="G219" s="155">
        <f>IF(G$110='weitere Besondere Leistungen'!$N$312,'weitere Besondere Leistungen'!$L$312,0)</f>
        <v>0</v>
      </c>
      <c r="H219" s="155">
        <f>IF(H$110='weitere Besondere Leistungen'!$N$312,'weitere Besondere Leistungen'!$L$312,0)</f>
        <v>0</v>
      </c>
      <c r="I219" s="155">
        <f>IF(I$110='weitere Besondere Leistungen'!$N$312,'weitere Besondere Leistungen'!$L$312,0)</f>
        <v>0</v>
      </c>
      <c r="J219" s="155">
        <f>IF(J$110='weitere Besondere Leistungen'!$N$312,'weitere Besondere Leistungen'!$L$312,0)</f>
        <v>0</v>
      </c>
      <c r="K219" s="156">
        <f>IF(K$110='weitere Besondere Leistungen'!$N$312,'weitere Besondere Leistungen'!$L$312,0)</f>
        <v>0</v>
      </c>
      <c r="X219" s="4"/>
      <c r="Y219" s="3"/>
      <c r="Z219" s="5"/>
    </row>
    <row r="220" spans="1:26" ht="14.55" x14ac:dyDescent="0.3">
      <c r="A220" s="299"/>
      <c r="B220" s="299"/>
      <c r="C220" s="154">
        <f>IF(C$110='weitere Besondere Leistungen'!$N$314,'weitere Besondere Leistungen'!$L$314,0)</f>
        <v>0</v>
      </c>
      <c r="D220" s="155">
        <f>IF(D$110='weitere Besondere Leistungen'!$N$314,'weitere Besondere Leistungen'!$L$314,0)</f>
        <v>0</v>
      </c>
      <c r="E220" s="155">
        <f>IF(E$110='weitere Besondere Leistungen'!$N$314,'weitere Besondere Leistungen'!$L$314,0)</f>
        <v>0</v>
      </c>
      <c r="F220" s="155">
        <f>IF(F$110='weitere Besondere Leistungen'!$N$314,'weitere Besondere Leistungen'!$L$314,0)</f>
        <v>0</v>
      </c>
      <c r="G220" s="155">
        <f>IF(G$110='weitere Besondere Leistungen'!$N$314,'weitere Besondere Leistungen'!$L$314,0)</f>
        <v>0</v>
      </c>
      <c r="H220" s="155">
        <f>IF(H$110='weitere Besondere Leistungen'!$N$314,'weitere Besondere Leistungen'!$L$314,0)</f>
        <v>0</v>
      </c>
      <c r="I220" s="155">
        <f>IF(I$110='weitere Besondere Leistungen'!$N$314,'weitere Besondere Leistungen'!$L$314,0)</f>
        <v>0</v>
      </c>
      <c r="J220" s="155">
        <f>IF(J$110='weitere Besondere Leistungen'!$N$314,'weitere Besondere Leistungen'!$L$314,0)</f>
        <v>0</v>
      </c>
      <c r="K220" s="156">
        <f>IF(K$110='weitere Besondere Leistungen'!$N$314,'weitere Besondere Leistungen'!$L$314,0)</f>
        <v>0</v>
      </c>
      <c r="X220" s="4"/>
      <c r="Y220" s="3"/>
      <c r="Z220" s="5"/>
    </row>
    <row r="221" spans="1:26" ht="14.55" x14ac:dyDescent="0.3">
      <c r="A221" s="299"/>
      <c r="B221" s="299"/>
      <c r="C221" s="154">
        <f>IF(C$110='weitere Besondere Leistungen'!$N$316,'weitere Besondere Leistungen'!$L$316,0)</f>
        <v>0</v>
      </c>
      <c r="D221" s="155">
        <f>IF(D$110='weitere Besondere Leistungen'!$N$316,'weitere Besondere Leistungen'!$L$316,0)</f>
        <v>0</v>
      </c>
      <c r="E221" s="155">
        <f>IF(E$110='weitere Besondere Leistungen'!$N$316,'weitere Besondere Leistungen'!$L$316,0)</f>
        <v>0</v>
      </c>
      <c r="F221" s="155">
        <f>IF(F$110='weitere Besondere Leistungen'!$N$316,'weitere Besondere Leistungen'!$L$316,0)</f>
        <v>0</v>
      </c>
      <c r="G221" s="155">
        <f>IF(G$110='weitere Besondere Leistungen'!$N$316,'weitere Besondere Leistungen'!$L$316,0)</f>
        <v>0</v>
      </c>
      <c r="H221" s="155">
        <f>IF(H$110='weitere Besondere Leistungen'!$N$316,'weitere Besondere Leistungen'!$L$316,0)</f>
        <v>0</v>
      </c>
      <c r="I221" s="155">
        <f>IF(I$110='weitere Besondere Leistungen'!$N$316,'weitere Besondere Leistungen'!$L$316,0)</f>
        <v>0</v>
      </c>
      <c r="J221" s="155">
        <f>IF(J$110='weitere Besondere Leistungen'!$N$316,'weitere Besondere Leistungen'!$L$316,0)</f>
        <v>0</v>
      </c>
      <c r="K221" s="156">
        <f>IF(K$110='weitere Besondere Leistungen'!$N$316,'weitere Besondere Leistungen'!$L$316,0)</f>
        <v>0</v>
      </c>
      <c r="X221" s="4"/>
      <c r="Y221" s="3"/>
      <c r="Z221" s="5"/>
    </row>
    <row r="222" spans="1:26" ht="14.55" x14ac:dyDescent="0.3">
      <c r="A222" s="299"/>
      <c r="B222" s="299"/>
      <c r="C222" s="154">
        <f>IF(C$110='weitere Besondere Leistungen'!$N$318,'weitere Besondere Leistungen'!$L$318,0)</f>
        <v>0</v>
      </c>
      <c r="D222" s="155">
        <f>IF(D$110='weitere Besondere Leistungen'!$N$318,'weitere Besondere Leistungen'!$L$318,0)</f>
        <v>0</v>
      </c>
      <c r="E222" s="155">
        <f>IF(E$110='weitere Besondere Leistungen'!$N$318,'weitere Besondere Leistungen'!$L$318,0)</f>
        <v>0</v>
      </c>
      <c r="F222" s="155">
        <f>IF(F$110='weitere Besondere Leistungen'!$N$318,'weitere Besondere Leistungen'!$L$318,0)</f>
        <v>0</v>
      </c>
      <c r="G222" s="155">
        <f>IF(G$110='weitere Besondere Leistungen'!$N$318,'weitere Besondere Leistungen'!$L$318,0)</f>
        <v>0</v>
      </c>
      <c r="H222" s="155">
        <f>IF(H$110='weitere Besondere Leistungen'!$N$318,'weitere Besondere Leistungen'!$L$318,0)</f>
        <v>0</v>
      </c>
      <c r="I222" s="155">
        <f>IF(I$110='weitere Besondere Leistungen'!$N$318,'weitere Besondere Leistungen'!$L$318,0)</f>
        <v>0</v>
      </c>
      <c r="J222" s="155">
        <f>IF(J$110='weitere Besondere Leistungen'!$N$318,'weitere Besondere Leistungen'!$L$318,0)</f>
        <v>0</v>
      </c>
      <c r="K222" s="156">
        <f>IF(K$110='weitere Besondere Leistungen'!$N$318,'weitere Besondere Leistungen'!$L$318,0)</f>
        <v>0</v>
      </c>
      <c r="X222" s="4"/>
      <c r="Y222" s="3"/>
      <c r="Z222" s="5"/>
    </row>
    <row r="223" spans="1:26" ht="14.55" x14ac:dyDescent="0.3">
      <c r="A223" s="299"/>
      <c r="B223" s="299"/>
      <c r="C223" s="154">
        <f>IF(C$110='weitere Besondere Leistungen'!$N$320,'weitere Besondere Leistungen'!$L$320,0)</f>
        <v>0</v>
      </c>
      <c r="D223" s="155">
        <f>IF(D$110='weitere Besondere Leistungen'!$N$320,'weitere Besondere Leistungen'!$L$320,0)</f>
        <v>0</v>
      </c>
      <c r="E223" s="155">
        <f>IF(E$110='weitere Besondere Leistungen'!$N$320,'weitere Besondere Leistungen'!$L$320,0)</f>
        <v>0</v>
      </c>
      <c r="F223" s="155">
        <f>IF(F$110='weitere Besondere Leistungen'!$N$320,'weitere Besondere Leistungen'!$L$320,0)</f>
        <v>0</v>
      </c>
      <c r="G223" s="155">
        <f>IF(G$110='weitere Besondere Leistungen'!$N$320,'weitere Besondere Leistungen'!$L$320,0)</f>
        <v>0</v>
      </c>
      <c r="H223" s="155">
        <f>IF(H$110='weitere Besondere Leistungen'!$N$320,'weitere Besondere Leistungen'!$L$320,0)</f>
        <v>0</v>
      </c>
      <c r="I223" s="155">
        <f>IF(I$110='weitere Besondere Leistungen'!$N$320,'weitere Besondere Leistungen'!$L$320,0)</f>
        <v>0</v>
      </c>
      <c r="J223" s="155">
        <f>IF(J$110='weitere Besondere Leistungen'!$N$320,'weitere Besondere Leistungen'!$L$320,0)</f>
        <v>0</v>
      </c>
      <c r="K223" s="156">
        <f>IF(K$110='weitere Besondere Leistungen'!$N$320,'weitere Besondere Leistungen'!$L$320,0)</f>
        <v>0</v>
      </c>
      <c r="X223" s="4"/>
      <c r="Y223" s="3"/>
      <c r="Z223" s="5"/>
    </row>
    <row r="224" spans="1:26" ht="14.55" x14ac:dyDescent="0.3">
      <c r="A224" s="299"/>
      <c r="B224" s="299"/>
      <c r="C224" s="154">
        <f>IF(C$110='weitere Besondere Leistungen'!$N$322,'weitere Besondere Leistungen'!$L$322,0)</f>
        <v>0</v>
      </c>
      <c r="D224" s="155">
        <f>IF(D$110='weitere Besondere Leistungen'!$N$322,'weitere Besondere Leistungen'!$L$322,0)</f>
        <v>0</v>
      </c>
      <c r="E224" s="155">
        <f>IF(E$110='weitere Besondere Leistungen'!$N$322,'weitere Besondere Leistungen'!$L$322,0)</f>
        <v>0</v>
      </c>
      <c r="F224" s="155">
        <f>IF(F$110='weitere Besondere Leistungen'!$N$322,'weitere Besondere Leistungen'!$L$322,0)</f>
        <v>0</v>
      </c>
      <c r="G224" s="155">
        <f>IF(G$110='weitere Besondere Leistungen'!$N$322,'weitere Besondere Leistungen'!$L$322,0)</f>
        <v>0</v>
      </c>
      <c r="H224" s="155">
        <f>IF(H$110='weitere Besondere Leistungen'!$N$322,'weitere Besondere Leistungen'!$L$322,0)</f>
        <v>0</v>
      </c>
      <c r="I224" s="155">
        <f>IF(I$110='weitere Besondere Leistungen'!$N$322,'weitere Besondere Leistungen'!$L$322,0)</f>
        <v>0</v>
      </c>
      <c r="J224" s="155">
        <f>IF(J$110='weitere Besondere Leistungen'!$N$322,'weitere Besondere Leistungen'!$L$322,0)</f>
        <v>0</v>
      </c>
      <c r="K224" s="156">
        <f>IF(K$110='weitere Besondere Leistungen'!$N$322,'weitere Besondere Leistungen'!$L$322,0)</f>
        <v>0</v>
      </c>
      <c r="X224" s="4"/>
      <c r="Y224" s="3"/>
      <c r="Z224" s="5"/>
    </row>
    <row r="225" spans="1:26 16384:16384" ht="14.55" x14ac:dyDescent="0.3">
      <c r="A225" s="299"/>
      <c r="B225" s="299"/>
      <c r="C225" s="154">
        <f>IF(C$110='weitere Besondere Leistungen'!$N$324,'weitere Besondere Leistungen'!$L$324,0)</f>
        <v>0</v>
      </c>
      <c r="D225" s="155">
        <f>IF(D$110='weitere Besondere Leistungen'!$N$324,'weitere Besondere Leistungen'!$L$324,0)</f>
        <v>0</v>
      </c>
      <c r="E225" s="155">
        <f>IF(E$110='weitere Besondere Leistungen'!$N$324,'weitere Besondere Leistungen'!$L$324,0)</f>
        <v>0</v>
      </c>
      <c r="F225" s="155">
        <f>IF(F$110='weitere Besondere Leistungen'!$N$324,'weitere Besondere Leistungen'!$L$324,0)</f>
        <v>0</v>
      </c>
      <c r="G225" s="155">
        <f>IF(G$110='weitere Besondere Leistungen'!$N$324,'weitere Besondere Leistungen'!$L$324,0)</f>
        <v>0</v>
      </c>
      <c r="H225" s="155">
        <f>IF(H$110='weitere Besondere Leistungen'!$N$324,'weitere Besondere Leistungen'!$L$324,0)</f>
        <v>0</v>
      </c>
      <c r="I225" s="155">
        <f>IF(I$110='weitere Besondere Leistungen'!$N$324,'weitere Besondere Leistungen'!$L$324,0)</f>
        <v>0</v>
      </c>
      <c r="J225" s="155">
        <f>IF(J$110='weitere Besondere Leistungen'!$N$324,'weitere Besondere Leistungen'!$L$324,0)</f>
        <v>0</v>
      </c>
      <c r="K225" s="156">
        <f>IF(K$110='weitere Besondere Leistungen'!$N$324,'weitere Besondere Leistungen'!$L$324,0)</f>
        <v>0</v>
      </c>
      <c r="X225" s="4"/>
      <c r="Y225" s="3"/>
      <c r="Z225" s="5"/>
    </row>
    <row r="226" spans="1:26 16384:16384" ht="14.55" x14ac:dyDescent="0.3">
      <c r="A226" s="299"/>
      <c r="B226" s="299"/>
      <c r="C226" s="154">
        <f>IF(C$110='weitere Besondere Leistungen'!$N$326,'weitere Besondere Leistungen'!$L$326,0)</f>
        <v>0</v>
      </c>
      <c r="D226" s="155">
        <f>IF(D$110='weitere Besondere Leistungen'!$N$326,'weitere Besondere Leistungen'!$L$326,0)</f>
        <v>0</v>
      </c>
      <c r="E226" s="155">
        <f>IF(E$110='weitere Besondere Leistungen'!$N$326,'weitere Besondere Leistungen'!$L$326,0)</f>
        <v>0</v>
      </c>
      <c r="F226" s="155">
        <f>IF(F$110='weitere Besondere Leistungen'!$N$326,'weitere Besondere Leistungen'!$L$326,0)</f>
        <v>0</v>
      </c>
      <c r="G226" s="155">
        <f>IF(G$110='weitere Besondere Leistungen'!$N$326,'weitere Besondere Leistungen'!$L$326,0)</f>
        <v>0</v>
      </c>
      <c r="H226" s="155">
        <f>IF(H$110='weitere Besondere Leistungen'!$N$326,'weitere Besondere Leistungen'!$L$326,0)</f>
        <v>0</v>
      </c>
      <c r="I226" s="155">
        <f>IF(I$110='weitere Besondere Leistungen'!$N$326,'weitere Besondere Leistungen'!$L$326,0)</f>
        <v>0</v>
      </c>
      <c r="J226" s="155">
        <f>IF(J$110='weitere Besondere Leistungen'!$N$326,'weitere Besondere Leistungen'!$L$326,0)</f>
        <v>0</v>
      </c>
      <c r="K226" s="156">
        <f>IF(K$110='weitere Besondere Leistungen'!$N$326,'weitere Besondere Leistungen'!$L$326,0)</f>
        <v>0</v>
      </c>
      <c r="X226" s="4"/>
      <c r="Y226" s="3"/>
      <c r="Z226" s="5"/>
    </row>
    <row r="227" spans="1:26 16384:16384" ht="14.55" x14ac:dyDescent="0.3">
      <c r="A227" s="299"/>
      <c r="B227" s="299"/>
      <c r="C227" s="154">
        <f>IF(C$110='weitere Besondere Leistungen'!$N$328,'weitere Besondere Leistungen'!$L$328,0)</f>
        <v>0</v>
      </c>
      <c r="D227" s="155">
        <f>IF(D$110='weitere Besondere Leistungen'!$N$328,'weitere Besondere Leistungen'!$L$328,0)</f>
        <v>0</v>
      </c>
      <c r="E227" s="155">
        <f>IF(E$110='weitere Besondere Leistungen'!$N$328,'weitere Besondere Leistungen'!$L$328,0)</f>
        <v>0</v>
      </c>
      <c r="F227" s="155">
        <f>IF(F$110='weitere Besondere Leistungen'!$N$328,'weitere Besondere Leistungen'!$L$328,0)</f>
        <v>0</v>
      </c>
      <c r="G227" s="155">
        <f>IF(G$110='weitere Besondere Leistungen'!$N$328,'weitere Besondere Leistungen'!$L$328,0)</f>
        <v>0</v>
      </c>
      <c r="H227" s="155">
        <f>IF(H$110='weitere Besondere Leistungen'!$N$328,'weitere Besondere Leistungen'!$L$328,0)</f>
        <v>0</v>
      </c>
      <c r="I227" s="155">
        <f>IF(I$110='weitere Besondere Leistungen'!$N$328,'weitere Besondere Leistungen'!$L$328,0)</f>
        <v>0</v>
      </c>
      <c r="J227" s="155">
        <f>IF(J$110='weitere Besondere Leistungen'!$N$328,'weitere Besondere Leistungen'!$L$328,0)</f>
        <v>0</v>
      </c>
      <c r="K227" s="156">
        <f>IF(K$110='weitere Besondere Leistungen'!$N$328,'weitere Besondere Leistungen'!$L$328,0)</f>
        <v>0</v>
      </c>
      <c r="X227" s="4"/>
      <c r="Y227" s="3"/>
      <c r="Z227" s="5"/>
    </row>
    <row r="228" spans="1:26 16384:16384" ht="15.2" thickBot="1" x14ac:dyDescent="0.35">
      <c r="A228" s="299"/>
      <c r="B228" s="299"/>
      <c r="C228" s="157">
        <f>IF(C$110='weitere Besondere Leistungen'!$N$330,'weitere Besondere Leistungen'!$L$330,0)</f>
        <v>0</v>
      </c>
      <c r="D228" s="158">
        <f>IF(D$110='weitere Besondere Leistungen'!$N$330,'weitere Besondere Leistungen'!$L$330,0)</f>
        <v>0</v>
      </c>
      <c r="E228" s="158">
        <f>IF(E$110='weitere Besondere Leistungen'!$N$330,'weitere Besondere Leistungen'!$L$330,0)</f>
        <v>0</v>
      </c>
      <c r="F228" s="158">
        <f>IF(F$110='weitere Besondere Leistungen'!$N$330,'weitere Besondere Leistungen'!$L$330,0)</f>
        <v>0</v>
      </c>
      <c r="G228" s="158">
        <f>IF(G$110='weitere Besondere Leistungen'!$N$330,'weitere Besondere Leistungen'!$L$330,0)</f>
        <v>0</v>
      </c>
      <c r="H228" s="158">
        <f>IF(H$110='weitere Besondere Leistungen'!$N$330,'weitere Besondere Leistungen'!$L$330,0)</f>
        <v>0</v>
      </c>
      <c r="I228" s="158">
        <f>IF(I$110='weitere Besondere Leistungen'!$N$330,'weitere Besondere Leistungen'!$L$330,0)</f>
        <v>0</v>
      </c>
      <c r="J228" s="158">
        <f>IF(J$110='weitere Besondere Leistungen'!$N$330,'weitere Besondere Leistungen'!$L$330,0)</f>
        <v>0</v>
      </c>
      <c r="K228" s="159">
        <f>IF(K$110='weitere Besondere Leistungen'!$N$330,'weitere Besondere Leistungen'!$L$330,0)</f>
        <v>0</v>
      </c>
      <c r="X228" s="4"/>
      <c r="Y228" s="3"/>
      <c r="Z228" s="5"/>
    </row>
    <row r="229" spans="1:26 16384:16384" ht="15.2" thickBot="1" x14ac:dyDescent="0.35">
      <c r="A229" s="1643" t="s">
        <v>377</v>
      </c>
      <c r="B229" s="1643"/>
      <c r="C229" s="293">
        <f t="shared" ref="C229:K229" si="6">SUM(C166:C228)</f>
        <v>0</v>
      </c>
      <c r="D229" s="293">
        <f t="shared" si="6"/>
        <v>0</v>
      </c>
      <c r="E229" s="293">
        <f t="shared" si="6"/>
        <v>0</v>
      </c>
      <c r="F229" s="293">
        <f t="shared" si="6"/>
        <v>0</v>
      </c>
      <c r="G229" s="293">
        <f t="shared" si="6"/>
        <v>0</v>
      </c>
      <c r="H229" s="293">
        <f t="shared" si="6"/>
        <v>0</v>
      </c>
      <c r="I229" s="293">
        <f t="shared" si="6"/>
        <v>0</v>
      </c>
      <c r="J229" s="293">
        <f t="shared" si="6"/>
        <v>0</v>
      </c>
      <c r="K229" s="293">
        <f t="shared" si="6"/>
        <v>0</v>
      </c>
      <c r="X229" s="4"/>
      <c r="Y229" s="3"/>
      <c r="Z229" s="5"/>
      <c r="XFD229" s="1" t="s">
        <v>642</v>
      </c>
    </row>
    <row r="230" spans="1:26 16384:16384" ht="15.2" thickBot="1" x14ac:dyDescent="0.35">
      <c r="A230" s="299"/>
      <c r="B230" s="299"/>
      <c r="C230" s="1638" t="str">
        <f>'weitere Besondere Leistungen'!B333</f>
        <v xml:space="preserve"> Besondere Leistungen Plancontrolling</v>
      </c>
      <c r="D230" s="1639"/>
      <c r="E230" s="1639"/>
      <c r="F230" s="1639"/>
      <c r="G230" s="1639"/>
      <c r="H230" s="1639"/>
      <c r="I230" s="1639"/>
      <c r="J230" s="1639"/>
      <c r="K230" s="1640"/>
      <c r="X230" s="4"/>
      <c r="Y230" s="3"/>
      <c r="Z230" s="5"/>
    </row>
    <row r="231" spans="1:26 16384:16384" ht="14.55" x14ac:dyDescent="0.3">
      <c r="A231" s="299"/>
      <c r="B231" s="299"/>
      <c r="C231" s="151">
        <f>IF(C$110='weitere Besondere Leistungen'!$N$336,'weitere Besondere Leistungen'!$L$336,0)</f>
        <v>0</v>
      </c>
      <c r="D231" s="151">
        <f>IF(D$110='weitere Besondere Leistungen'!$N$336,'weitere Besondere Leistungen'!$L$336,0)</f>
        <v>0</v>
      </c>
      <c r="E231" s="151">
        <f>IF(E$110='weitere Besondere Leistungen'!$N$336,'weitere Besondere Leistungen'!$L$336,0)</f>
        <v>0</v>
      </c>
      <c r="F231" s="151">
        <f>IF(F$110='weitere Besondere Leistungen'!$N$336,'weitere Besondere Leistungen'!$L$336,0)</f>
        <v>0</v>
      </c>
      <c r="G231" s="151">
        <f>IF(G$110='weitere Besondere Leistungen'!$N$336,'weitere Besondere Leistungen'!$L$336,0)</f>
        <v>0</v>
      </c>
      <c r="H231" s="151">
        <f>IF(H$110='weitere Besondere Leistungen'!$N$336,'weitere Besondere Leistungen'!$L$336,0)</f>
        <v>0</v>
      </c>
      <c r="I231" s="151">
        <f>IF(I$110='weitere Besondere Leistungen'!$N$336,'weitere Besondere Leistungen'!$L$336,0)</f>
        <v>0</v>
      </c>
      <c r="J231" s="151">
        <f>IF(J$110='weitere Besondere Leistungen'!$N$336,'weitere Besondere Leistungen'!$L$336,0)</f>
        <v>0</v>
      </c>
      <c r="K231" s="413">
        <f>IF(K$110='weitere Besondere Leistungen'!$N$336,'weitere Besondere Leistungen'!$L$336,0)</f>
        <v>0</v>
      </c>
      <c r="X231" s="4"/>
      <c r="Y231" s="3"/>
      <c r="Z231" s="5"/>
    </row>
    <row r="232" spans="1:26 16384:16384" ht="14.55" x14ac:dyDescent="0.3">
      <c r="A232" s="299"/>
      <c r="B232" s="299"/>
      <c r="C232" s="154">
        <f>IF(C$110='weitere Besondere Leistungen'!$N$339,'weitere Besondere Leistungen'!$L$339,0)</f>
        <v>0</v>
      </c>
      <c r="D232" s="154">
        <f>IF(D$110='weitere Besondere Leistungen'!$N$339,'weitere Besondere Leistungen'!$L$339,0)</f>
        <v>0</v>
      </c>
      <c r="E232" s="154">
        <f>IF(E$110='weitere Besondere Leistungen'!$N$339,'weitere Besondere Leistungen'!$L$339,0)</f>
        <v>0</v>
      </c>
      <c r="F232" s="154">
        <f>IF(F$110='weitere Besondere Leistungen'!$N$339,'weitere Besondere Leistungen'!$L$339,0)</f>
        <v>0</v>
      </c>
      <c r="G232" s="154">
        <f>IF(G$110='weitere Besondere Leistungen'!$N$339,'weitere Besondere Leistungen'!$L$339,0)</f>
        <v>0</v>
      </c>
      <c r="H232" s="154">
        <f>IF(H$110='weitere Besondere Leistungen'!$N$339,'weitere Besondere Leistungen'!$L$339,0)</f>
        <v>0</v>
      </c>
      <c r="I232" s="154">
        <f>IF(I$110='weitere Besondere Leistungen'!$N$339,'weitere Besondere Leistungen'!$L$339,0)</f>
        <v>0</v>
      </c>
      <c r="J232" s="154">
        <f>IF(J$110='weitere Besondere Leistungen'!$N$339,'weitere Besondere Leistungen'!$L$339,0)</f>
        <v>0</v>
      </c>
      <c r="K232" s="414">
        <f>IF(K$110='weitere Besondere Leistungen'!$N$339,'weitere Besondere Leistungen'!$L$339,0)</f>
        <v>0</v>
      </c>
      <c r="X232" s="4"/>
      <c r="Y232" s="3"/>
      <c r="Z232" s="5"/>
    </row>
    <row r="233" spans="1:26 16384:16384" ht="14.55" x14ac:dyDescent="0.3">
      <c r="A233" s="299"/>
      <c r="B233" s="299"/>
      <c r="C233" s="154">
        <f>IF(C$110='weitere Besondere Leistungen'!$N$342,'weitere Besondere Leistungen'!$L$342,0)</f>
        <v>0</v>
      </c>
      <c r="D233" s="154">
        <f>IF(D$110='weitere Besondere Leistungen'!$N$342,'weitere Besondere Leistungen'!$L$342,0)</f>
        <v>0</v>
      </c>
      <c r="E233" s="154">
        <f>IF(E$110='weitere Besondere Leistungen'!$N$342,'weitere Besondere Leistungen'!$L$342,0)</f>
        <v>0</v>
      </c>
      <c r="F233" s="154">
        <f>IF(F$110='weitere Besondere Leistungen'!$N$342,'weitere Besondere Leistungen'!$L$342,0)</f>
        <v>0</v>
      </c>
      <c r="G233" s="154">
        <f>IF(G$110='weitere Besondere Leistungen'!$N$342,'weitere Besondere Leistungen'!$L$342,0)</f>
        <v>0</v>
      </c>
      <c r="H233" s="154">
        <f>IF(H$110='weitere Besondere Leistungen'!$N$342,'weitere Besondere Leistungen'!$L$342,0)</f>
        <v>0</v>
      </c>
      <c r="I233" s="154">
        <f>IF(I$110='weitere Besondere Leistungen'!$N$342,'weitere Besondere Leistungen'!$L$342,0)</f>
        <v>0</v>
      </c>
      <c r="J233" s="154">
        <f>IF(J$110='weitere Besondere Leistungen'!$N$342,'weitere Besondere Leistungen'!$L$342,0)</f>
        <v>0</v>
      </c>
      <c r="K233" s="414">
        <f>IF(K$110='weitere Besondere Leistungen'!$N$342,'weitere Besondere Leistungen'!$L$342,0)</f>
        <v>0</v>
      </c>
      <c r="X233" s="4"/>
      <c r="Y233" s="3"/>
      <c r="Z233" s="5"/>
    </row>
    <row r="234" spans="1:26 16384:16384" ht="14.55" x14ac:dyDescent="0.3">
      <c r="A234" s="299"/>
      <c r="B234" s="299"/>
      <c r="C234" s="154">
        <f>IF(C$110='weitere Besondere Leistungen'!$N$345,'weitere Besondere Leistungen'!$L$345,0)</f>
        <v>0</v>
      </c>
      <c r="D234" s="154">
        <f>IF(D$110='weitere Besondere Leistungen'!$N$345,'weitere Besondere Leistungen'!$L$345,0)</f>
        <v>0</v>
      </c>
      <c r="E234" s="154">
        <f>IF(E$110='weitere Besondere Leistungen'!$N$345,'weitere Besondere Leistungen'!$L$345,0)</f>
        <v>0</v>
      </c>
      <c r="F234" s="154">
        <f>IF(F$110='weitere Besondere Leistungen'!$N$345,'weitere Besondere Leistungen'!$L$345,0)</f>
        <v>0</v>
      </c>
      <c r="G234" s="154">
        <f>IF(G$110='weitere Besondere Leistungen'!$N$345,'weitere Besondere Leistungen'!$L$345,0)</f>
        <v>0</v>
      </c>
      <c r="H234" s="154">
        <f>IF(H$110='weitere Besondere Leistungen'!$N$345,'weitere Besondere Leistungen'!$L$345,0)</f>
        <v>0</v>
      </c>
      <c r="I234" s="154">
        <f>IF(I$110='weitere Besondere Leistungen'!$N$345,'weitere Besondere Leistungen'!$L$345,0)</f>
        <v>0</v>
      </c>
      <c r="J234" s="154">
        <f>IF(J$110='weitere Besondere Leistungen'!$N$345,'weitere Besondere Leistungen'!$L$345,0)</f>
        <v>0</v>
      </c>
      <c r="K234" s="414">
        <f>IF(K$110='weitere Besondere Leistungen'!$N$345,'weitere Besondere Leistungen'!$L$345,0)</f>
        <v>0</v>
      </c>
      <c r="X234" s="4"/>
      <c r="Y234" s="3"/>
      <c r="Z234" s="5"/>
    </row>
    <row r="235" spans="1:26 16384:16384" ht="15.2" thickBot="1" x14ac:dyDescent="0.35">
      <c r="A235" s="299"/>
      <c r="B235" s="299"/>
      <c r="C235" s="157">
        <f>IF(C$110='weitere Besondere Leistungen'!$N$349,'weitere Besondere Leistungen'!$L$349,0)</f>
        <v>0</v>
      </c>
      <c r="D235" s="157">
        <f>IF(D$110='weitere Besondere Leistungen'!$N$349,'weitere Besondere Leistungen'!$L$349,0)</f>
        <v>0</v>
      </c>
      <c r="E235" s="157">
        <f>IF(E$110='weitere Besondere Leistungen'!$N$349,'weitere Besondere Leistungen'!$L$349,0)</f>
        <v>0</v>
      </c>
      <c r="F235" s="157">
        <f>IF(F$110='weitere Besondere Leistungen'!$N$349,'weitere Besondere Leistungen'!$L$349,0)</f>
        <v>0</v>
      </c>
      <c r="G235" s="157">
        <f>IF(G$110='weitere Besondere Leistungen'!$N$349,'weitere Besondere Leistungen'!$L$349,0)</f>
        <v>0</v>
      </c>
      <c r="H235" s="157">
        <f>IF(H$110='weitere Besondere Leistungen'!$N$349,'weitere Besondere Leistungen'!$L$349,0)</f>
        <v>0</v>
      </c>
      <c r="I235" s="157">
        <f>IF(I$110='weitere Besondere Leistungen'!$N$349,'weitere Besondere Leistungen'!$L$349,0)</f>
        <v>0</v>
      </c>
      <c r="J235" s="157">
        <f>IF(J$110='weitere Besondere Leistungen'!$N$349,'weitere Besondere Leistungen'!$L$349,0)</f>
        <v>0</v>
      </c>
      <c r="K235" s="415">
        <f>IF(K$110='weitere Besondere Leistungen'!$N$349,'weitere Besondere Leistungen'!$L$349,0)</f>
        <v>0</v>
      </c>
      <c r="X235" s="4"/>
      <c r="Y235" s="3"/>
      <c r="Z235" s="5"/>
    </row>
    <row r="236" spans="1:26 16384:16384" ht="14.55" x14ac:dyDescent="0.3">
      <c r="A236" s="299"/>
      <c r="B236" s="299" t="s">
        <v>377</v>
      </c>
      <c r="C236" s="294">
        <f t="shared" ref="C236:K236" si="7">SUM(C231:C235)</f>
        <v>0</v>
      </c>
      <c r="D236" s="294">
        <f t="shared" si="7"/>
        <v>0</v>
      </c>
      <c r="E236" s="294">
        <f t="shared" si="7"/>
        <v>0</v>
      </c>
      <c r="F236" s="294">
        <f t="shared" si="7"/>
        <v>0</v>
      </c>
      <c r="G236" s="294">
        <f t="shared" si="7"/>
        <v>0</v>
      </c>
      <c r="H236" s="294">
        <f t="shared" si="7"/>
        <v>0</v>
      </c>
      <c r="I236" s="294">
        <f t="shared" si="7"/>
        <v>0</v>
      </c>
      <c r="J236" s="294">
        <f t="shared" si="7"/>
        <v>0</v>
      </c>
      <c r="K236" s="294">
        <f t="shared" si="7"/>
        <v>0</v>
      </c>
      <c r="X236" s="4"/>
      <c r="Y236" s="3"/>
      <c r="Z236" s="5"/>
    </row>
    <row r="237" spans="1:26 16384:16384" ht="14.55" x14ac:dyDescent="0.3">
      <c r="A237" s="299"/>
      <c r="B237" s="299"/>
      <c r="C237" s="294"/>
      <c r="D237" s="294"/>
      <c r="E237" s="294"/>
      <c r="F237" s="294"/>
      <c r="G237" s="294"/>
      <c r="H237" s="294"/>
      <c r="I237" s="294"/>
      <c r="J237" s="294"/>
      <c r="K237" s="294"/>
      <c r="X237" s="4"/>
      <c r="Y237" s="3"/>
      <c r="Z237" s="5"/>
    </row>
    <row r="238" spans="1:26 16384:16384" ht="14.55" x14ac:dyDescent="0.3">
      <c r="B238" s="342" t="s">
        <v>643</v>
      </c>
      <c r="C238" s="200">
        <v>1</v>
      </c>
      <c r="D238" s="200">
        <v>2</v>
      </c>
      <c r="E238" s="200">
        <v>3</v>
      </c>
      <c r="F238" s="200">
        <v>4</v>
      </c>
      <c r="G238" s="200">
        <v>5</v>
      </c>
      <c r="H238" s="200">
        <v>6</v>
      </c>
      <c r="I238" s="200">
        <v>7</v>
      </c>
      <c r="J238" s="200">
        <v>8</v>
      </c>
      <c r="K238" s="200">
        <v>9</v>
      </c>
      <c r="X238" s="4"/>
      <c r="Y238" s="3"/>
      <c r="Z238" s="5"/>
    </row>
    <row r="239" spans="1:26 16384:16384" ht="14.55" x14ac:dyDescent="0.3">
      <c r="A239" s="1677" t="s">
        <v>644</v>
      </c>
      <c r="B239" s="1677"/>
      <c r="C239" s="175">
        <f t="shared" ref="C239:K239" si="8">C156+C147+C141+C106+C132+C164+C229+C236</f>
        <v>0</v>
      </c>
      <c r="D239" s="175">
        <f t="shared" si="8"/>
        <v>0</v>
      </c>
      <c r="E239" s="175">
        <f t="shared" si="8"/>
        <v>0</v>
      </c>
      <c r="F239" s="175">
        <f t="shared" si="8"/>
        <v>0</v>
      </c>
      <c r="G239" s="175">
        <f t="shared" si="8"/>
        <v>0</v>
      </c>
      <c r="H239" s="175">
        <f t="shared" si="8"/>
        <v>0</v>
      </c>
      <c r="I239" s="175">
        <f t="shared" si="8"/>
        <v>0</v>
      </c>
      <c r="J239" s="175">
        <f t="shared" si="8"/>
        <v>0</v>
      </c>
      <c r="K239" s="175">
        <f t="shared" si="8"/>
        <v>0</v>
      </c>
      <c r="X239" s="4"/>
      <c r="Y239" s="3"/>
      <c r="Z239" s="5"/>
    </row>
    <row r="240" spans="1:26 16384:16384" ht="14.55" x14ac:dyDescent="0.3">
      <c r="B240" s="1">
        <v>2</v>
      </c>
      <c r="C240" s="166">
        <f>D239</f>
        <v>0</v>
      </c>
      <c r="D240" s="166"/>
      <c r="E240" s="166"/>
      <c r="F240" s="166"/>
      <c r="G240" s="166"/>
      <c r="H240" s="166"/>
      <c r="I240" s="166"/>
      <c r="J240" s="166"/>
      <c r="X240" s="4"/>
      <c r="Y240" s="3"/>
      <c r="Z240" s="5"/>
    </row>
    <row r="241" spans="2:26" ht="14.55" x14ac:dyDescent="0.3">
      <c r="B241" s="1">
        <v>3</v>
      </c>
      <c r="C241" s="166">
        <f>E239</f>
        <v>0</v>
      </c>
      <c r="D241" s="166"/>
      <c r="E241" s="166"/>
      <c r="F241" s="166"/>
      <c r="G241" s="166"/>
      <c r="H241" s="166"/>
      <c r="I241" s="166"/>
      <c r="J241" s="166"/>
      <c r="X241" s="4"/>
      <c r="Y241" s="3"/>
      <c r="Z241" s="5"/>
    </row>
    <row r="242" spans="2:26" ht="14.55" x14ac:dyDescent="0.3">
      <c r="B242" s="1">
        <v>4</v>
      </c>
      <c r="C242" s="166">
        <f>F239</f>
        <v>0</v>
      </c>
      <c r="D242" s="166"/>
      <c r="E242" s="166"/>
      <c r="F242" s="166"/>
      <c r="G242" s="166"/>
      <c r="H242" s="166"/>
      <c r="I242" s="166"/>
      <c r="J242" s="166"/>
      <c r="X242" s="4"/>
      <c r="Y242" s="3"/>
      <c r="Z242" s="5"/>
    </row>
    <row r="243" spans="2:26" ht="14.55" x14ac:dyDescent="0.3">
      <c r="B243" s="1">
        <v>5</v>
      </c>
      <c r="C243" s="166">
        <f>G239</f>
        <v>0</v>
      </c>
      <c r="D243" s="166"/>
      <c r="E243" s="166"/>
      <c r="F243" s="166"/>
      <c r="G243" s="166"/>
      <c r="H243" s="166"/>
      <c r="I243" s="166"/>
      <c r="J243" s="166"/>
      <c r="X243" s="4"/>
      <c r="Y243" s="3"/>
      <c r="Z243" s="5"/>
    </row>
    <row r="244" spans="2:26" ht="14.55" x14ac:dyDescent="0.3">
      <c r="B244" s="1">
        <v>6</v>
      </c>
      <c r="C244" s="166">
        <f>H239</f>
        <v>0</v>
      </c>
      <c r="D244" s="166"/>
      <c r="E244" s="166"/>
      <c r="F244" s="166"/>
      <c r="G244" s="166"/>
      <c r="H244" s="166"/>
      <c r="I244" s="166"/>
      <c r="J244" s="166"/>
      <c r="X244" s="4"/>
      <c r="Y244" s="3"/>
      <c r="Z244" s="5"/>
    </row>
    <row r="245" spans="2:26" ht="14.55" x14ac:dyDescent="0.3">
      <c r="B245" s="1">
        <v>7</v>
      </c>
      <c r="C245" s="166">
        <f>I239</f>
        <v>0</v>
      </c>
      <c r="D245" s="166"/>
      <c r="E245" s="166"/>
      <c r="F245" s="166"/>
      <c r="G245" s="166"/>
      <c r="H245" s="166"/>
      <c r="I245" s="166"/>
      <c r="J245" s="166"/>
      <c r="X245" s="4"/>
      <c r="Y245" s="3"/>
      <c r="Z245" s="5"/>
    </row>
    <row r="246" spans="2:26" ht="14.55" x14ac:dyDescent="0.3">
      <c r="B246" s="1">
        <v>8</v>
      </c>
      <c r="C246" s="166">
        <f>J239</f>
        <v>0</v>
      </c>
      <c r="D246" s="166"/>
      <c r="E246" s="166"/>
      <c r="F246" s="166"/>
      <c r="G246" s="166"/>
      <c r="H246" s="166"/>
      <c r="I246" s="166"/>
      <c r="J246" s="166"/>
      <c r="X246" s="4"/>
      <c r="Y246" s="3"/>
      <c r="Z246" s="5"/>
    </row>
    <row r="247" spans="2:26" ht="14.55" x14ac:dyDescent="0.3">
      <c r="B247" s="1">
        <v>9</v>
      </c>
      <c r="C247" s="166">
        <f>K239</f>
        <v>0</v>
      </c>
      <c r="D247" s="166"/>
      <c r="E247" s="166"/>
      <c r="F247" s="166"/>
      <c r="G247" s="166"/>
      <c r="H247" s="166"/>
      <c r="I247" s="166"/>
      <c r="J247" s="166"/>
      <c r="X247" s="4"/>
      <c r="Y247" s="3"/>
      <c r="Z247" s="5"/>
    </row>
    <row r="248" spans="2:26" ht="14.55" x14ac:dyDescent="0.3">
      <c r="C248" s="166"/>
      <c r="D248" s="166"/>
      <c r="E248" s="166"/>
      <c r="F248" s="166"/>
      <c r="G248" s="166"/>
      <c r="H248" s="166"/>
      <c r="I248" s="166"/>
      <c r="J248" s="166"/>
      <c r="X248" s="4"/>
      <c r="Y248" s="3"/>
      <c r="Z248" s="5"/>
    </row>
    <row r="249" spans="2:26" ht="14.55" x14ac:dyDescent="0.3">
      <c r="C249" s="166"/>
      <c r="D249" s="166"/>
      <c r="E249" s="166"/>
      <c r="F249" s="166"/>
      <c r="G249" s="166"/>
      <c r="H249" s="166"/>
      <c r="I249" s="166"/>
      <c r="J249" s="166"/>
      <c r="X249" s="4"/>
      <c r="Y249" s="3"/>
      <c r="Z249" s="5"/>
    </row>
    <row r="250" spans="2:26" ht="14.55" x14ac:dyDescent="0.3">
      <c r="C250" s="166"/>
      <c r="D250" s="166"/>
      <c r="E250" s="166"/>
      <c r="F250" s="166"/>
      <c r="G250" s="166"/>
      <c r="H250" s="166"/>
      <c r="I250" s="166"/>
      <c r="J250" s="166"/>
      <c r="X250" s="4"/>
      <c r="Y250" s="3"/>
      <c r="Z250" s="5"/>
    </row>
    <row r="251" spans="2:26" ht="14.55" x14ac:dyDescent="0.3">
      <c r="C251" s="166"/>
      <c r="D251" s="166"/>
      <c r="E251" s="166"/>
      <c r="F251" s="166"/>
      <c r="G251" s="166"/>
      <c r="H251" s="166"/>
      <c r="I251" s="166"/>
      <c r="J251" s="166"/>
      <c r="X251" s="4"/>
      <c r="Y251" s="3"/>
      <c r="Z251" s="5"/>
    </row>
    <row r="252" spans="2:26" ht="14.55" x14ac:dyDescent="0.3">
      <c r="C252" s="166"/>
      <c r="D252" s="166"/>
      <c r="E252" s="166"/>
      <c r="F252" s="166"/>
      <c r="G252" s="166"/>
      <c r="H252" s="166"/>
      <c r="I252" s="166"/>
      <c r="J252" s="166"/>
      <c r="X252" s="4"/>
      <c r="Y252" s="3"/>
      <c r="Z252" s="5"/>
    </row>
    <row r="253" spans="2:26" ht="14.55" x14ac:dyDescent="0.3">
      <c r="C253" s="166"/>
      <c r="D253" s="166"/>
      <c r="E253" s="166"/>
      <c r="F253" s="166"/>
      <c r="G253" s="166"/>
      <c r="H253" s="166"/>
      <c r="I253" s="166"/>
      <c r="J253" s="166"/>
      <c r="X253" s="4"/>
      <c r="Y253" s="3"/>
      <c r="Z253" s="5"/>
    </row>
    <row r="254" spans="2:26" ht="14.55" x14ac:dyDescent="0.3">
      <c r="C254" s="166"/>
      <c r="D254" s="166"/>
      <c r="E254" s="166"/>
      <c r="F254" s="166"/>
      <c r="G254" s="166"/>
      <c r="H254" s="166"/>
      <c r="I254" s="166"/>
      <c r="J254" s="166"/>
      <c r="X254" s="4"/>
      <c r="Y254" s="3"/>
      <c r="Z254" s="5"/>
    </row>
    <row r="255" spans="2:26" ht="14.55" x14ac:dyDescent="0.3">
      <c r="X255" s="4"/>
      <c r="Y255" s="3"/>
      <c r="Z255" s="5"/>
    </row>
    <row r="256" spans="2:26" ht="14.55" x14ac:dyDescent="0.3">
      <c r="X256" s="4"/>
      <c r="Y256" s="3"/>
      <c r="Z256" s="5"/>
    </row>
    <row r="257" spans="24:26" ht="14.55" x14ac:dyDescent="0.3">
      <c r="X257" s="4"/>
      <c r="Y257" s="3"/>
      <c r="Z257" s="5"/>
    </row>
    <row r="258" spans="24:26" ht="14.55" x14ac:dyDescent="0.3">
      <c r="X258" s="4"/>
      <c r="Y258" s="3"/>
      <c r="Z258" s="5"/>
    </row>
    <row r="259" spans="24:26" ht="14.55" x14ac:dyDescent="0.3">
      <c r="X259" s="4"/>
      <c r="Y259" s="3"/>
      <c r="Z259" s="5"/>
    </row>
    <row r="260" spans="24:26" ht="14.55" x14ac:dyDescent="0.3">
      <c r="X260" s="4"/>
      <c r="Y260" s="3"/>
      <c r="Z260" s="5"/>
    </row>
    <row r="261" spans="24:26" ht="14.55" x14ac:dyDescent="0.3">
      <c r="X261" s="4"/>
      <c r="Y261" s="3"/>
      <c r="Z261" s="5"/>
    </row>
    <row r="262" spans="24:26" ht="14.55" x14ac:dyDescent="0.3">
      <c r="X262" s="4"/>
      <c r="Y262" s="3"/>
      <c r="Z262" s="5"/>
    </row>
    <row r="263" spans="24:26" ht="14.55" x14ac:dyDescent="0.3">
      <c r="X263" s="4"/>
      <c r="Y263" s="3"/>
      <c r="Z263" s="5"/>
    </row>
    <row r="264" spans="24:26" ht="14.55" x14ac:dyDescent="0.3">
      <c r="X264" s="4"/>
      <c r="Y264" s="3"/>
      <c r="Z264" s="5"/>
    </row>
    <row r="265" spans="24:26" ht="14.55" x14ac:dyDescent="0.3">
      <c r="X265" s="4"/>
      <c r="Y265" s="3"/>
      <c r="Z265" s="5"/>
    </row>
    <row r="266" spans="24:26" ht="14.55" x14ac:dyDescent="0.3">
      <c r="X266" s="4"/>
      <c r="Y266" s="3"/>
      <c r="Z266" s="5"/>
    </row>
    <row r="267" spans="24:26" ht="14.55" x14ac:dyDescent="0.3">
      <c r="X267" s="4"/>
      <c r="Y267" s="3"/>
      <c r="Z267" s="5"/>
    </row>
    <row r="268" spans="24:26" ht="14.55" x14ac:dyDescent="0.3">
      <c r="X268" s="4"/>
      <c r="Y268" s="3"/>
      <c r="Z268" s="5"/>
    </row>
    <row r="269" spans="24:26" ht="14.55" x14ac:dyDescent="0.3">
      <c r="X269" s="4"/>
      <c r="Y269" s="3"/>
      <c r="Z269" s="5"/>
    </row>
    <row r="270" spans="24:26" ht="14.55" x14ac:dyDescent="0.3">
      <c r="X270" s="4"/>
      <c r="Y270" s="3"/>
      <c r="Z270" s="5"/>
    </row>
    <row r="271" spans="24:26" ht="14.55" x14ac:dyDescent="0.3">
      <c r="X271" s="4"/>
      <c r="Y271" s="3"/>
      <c r="Z271" s="5"/>
    </row>
    <row r="272" spans="24:26" ht="14.55" x14ac:dyDescent="0.3">
      <c r="X272" s="4"/>
      <c r="Y272" s="3"/>
      <c r="Z272" s="5"/>
    </row>
    <row r="273" spans="3:26" ht="14.55" x14ac:dyDescent="0.3">
      <c r="X273" s="4"/>
      <c r="Y273" s="3"/>
      <c r="Z273" s="5"/>
    </row>
    <row r="274" spans="3:26" ht="14.55" x14ac:dyDescent="0.3">
      <c r="X274" s="4"/>
      <c r="Y274" s="3"/>
      <c r="Z274" s="5"/>
    </row>
    <row r="275" spans="3:26" ht="14.55" x14ac:dyDescent="0.3">
      <c r="X275" s="4"/>
      <c r="Y275" s="3"/>
      <c r="Z275" s="5"/>
    </row>
    <row r="276" spans="3:26" ht="14.55" x14ac:dyDescent="0.3">
      <c r="X276" s="4"/>
      <c r="Y276" s="3"/>
      <c r="Z276" s="5"/>
    </row>
    <row r="277" spans="3:26" ht="14.55" x14ac:dyDescent="0.3">
      <c r="X277" s="4"/>
      <c r="Y277" s="3"/>
      <c r="Z277" s="5"/>
    </row>
    <row r="278" spans="3:26" ht="14.55" x14ac:dyDescent="0.3">
      <c r="X278" s="4"/>
      <c r="Y278" s="3"/>
      <c r="Z278" s="5"/>
    </row>
    <row r="279" spans="3:26" ht="14.55" x14ac:dyDescent="0.3">
      <c r="C279" s="48"/>
      <c r="D279" s="48"/>
      <c r="E279" s="48"/>
      <c r="F279" s="48"/>
      <c r="G279" s="48"/>
      <c r="H279" s="48"/>
      <c r="I279" s="48"/>
      <c r="J279" s="48"/>
      <c r="K279" s="48"/>
      <c r="L279" s="48"/>
      <c r="M279" s="48"/>
      <c r="N279" s="48"/>
      <c r="O279" s="48"/>
      <c r="P279" s="48"/>
      <c r="Q279" s="48"/>
      <c r="R279" s="48"/>
      <c r="S279" s="48"/>
      <c r="T279" s="48"/>
      <c r="X279" s="4"/>
      <c r="Y279" s="3"/>
      <c r="Z279" s="5"/>
    </row>
    <row r="280" spans="3:26" ht="14.55" x14ac:dyDescent="0.3">
      <c r="C280" s="48"/>
      <c r="D280" s="48"/>
      <c r="E280" s="48"/>
      <c r="F280" s="48"/>
      <c r="G280" s="48"/>
      <c r="H280" s="48"/>
      <c r="I280" s="48"/>
      <c r="J280" s="48"/>
      <c r="K280" s="48"/>
      <c r="L280" s="48"/>
      <c r="M280" s="48"/>
      <c r="N280" s="48"/>
      <c r="O280" s="48"/>
      <c r="P280" s="48"/>
      <c r="Q280" s="48"/>
      <c r="R280" s="48"/>
      <c r="S280" s="48"/>
      <c r="T280" s="48"/>
      <c r="X280" s="4"/>
      <c r="Y280" s="3"/>
      <c r="Z280" s="5"/>
    </row>
    <row r="281" spans="3:26" ht="14.55" x14ac:dyDescent="0.3">
      <c r="C281" s="48"/>
      <c r="D281" s="48"/>
      <c r="E281" s="48"/>
      <c r="F281" s="48"/>
      <c r="G281" s="48"/>
      <c r="H281" s="48"/>
      <c r="I281" s="48"/>
      <c r="J281" s="48"/>
      <c r="K281" s="48"/>
      <c r="L281" s="48"/>
      <c r="M281" s="48"/>
      <c r="N281" s="48"/>
      <c r="O281" s="48"/>
      <c r="P281" s="48"/>
      <c r="Q281" s="48"/>
      <c r="R281" s="48"/>
      <c r="S281" s="48"/>
      <c r="T281" s="48"/>
      <c r="X281" s="4"/>
      <c r="Y281" s="3"/>
      <c r="Z281" s="5"/>
    </row>
    <row r="282" spans="3:26" ht="14.55" x14ac:dyDescent="0.3">
      <c r="C282" s="48"/>
      <c r="D282" s="48"/>
      <c r="E282" s="48"/>
      <c r="F282" s="48"/>
      <c r="G282" s="48"/>
      <c r="H282" s="48"/>
      <c r="I282" s="48"/>
      <c r="J282" s="48"/>
      <c r="K282" s="48"/>
      <c r="L282" s="48"/>
      <c r="M282" s="48"/>
      <c r="N282" s="48"/>
      <c r="O282" s="48"/>
      <c r="P282" s="48"/>
      <c r="Q282" s="48"/>
      <c r="R282" s="48"/>
      <c r="S282" s="48"/>
      <c r="T282" s="48"/>
      <c r="X282" s="4"/>
      <c r="Y282" s="3"/>
      <c r="Z282" s="5"/>
    </row>
    <row r="283" spans="3:26" ht="14.55" x14ac:dyDescent="0.3">
      <c r="C283" s="48"/>
      <c r="D283" s="48"/>
      <c r="E283" s="48"/>
      <c r="F283" s="48"/>
      <c r="G283" s="48"/>
      <c r="H283" s="48"/>
      <c r="I283" s="48"/>
      <c r="J283" s="48"/>
      <c r="K283" s="48"/>
      <c r="L283" s="48"/>
      <c r="M283" s="48"/>
      <c r="N283" s="48"/>
      <c r="O283" s="48"/>
      <c r="P283" s="48"/>
      <c r="Q283" s="48"/>
      <c r="R283" s="48"/>
      <c r="S283" s="48"/>
      <c r="T283" s="48"/>
      <c r="X283" s="4"/>
      <c r="Y283" s="3"/>
      <c r="Z283" s="5"/>
    </row>
    <row r="284" spans="3:26" ht="14.55" x14ac:dyDescent="0.3">
      <c r="C284" s="48"/>
      <c r="D284" s="48"/>
      <c r="E284" s="48"/>
      <c r="F284" s="48"/>
      <c r="G284" s="48"/>
      <c r="H284" s="48"/>
      <c r="I284" s="48"/>
      <c r="J284" s="48"/>
      <c r="K284" s="48"/>
      <c r="L284" s="48"/>
      <c r="M284" s="48"/>
      <c r="N284" s="48"/>
      <c r="O284" s="48"/>
      <c r="P284" s="48"/>
      <c r="Q284" s="48"/>
      <c r="R284" s="48"/>
      <c r="S284" s="48"/>
      <c r="T284" s="48"/>
      <c r="X284" s="4"/>
      <c r="Y284" s="3"/>
      <c r="Z284" s="5"/>
    </row>
    <row r="285" spans="3:26" ht="14.55" x14ac:dyDescent="0.3">
      <c r="C285" s="48"/>
      <c r="D285" s="48"/>
      <c r="E285" s="48"/>
      <c r="F285" s="48"/>
      <c r="G285" s="48"/>
      <c r="H285" s="48"/>
      <c r="I285" s="48"/>
      <c r="J285" s="48"/>
      <c r="K285" s="48"/>
      <c r="L285" s="48"/>
      <c r="M285" s="48"/>
      <c r="N285" s="48"/>
      <c r="O285" s="48"/>
      <c r="P285" s="48"/>
      <c r="Q285" s="48"/>
      <c r="R285" s="48"/>
      <c r="S285" s="48"/>
      <c r="T285" s="48"/>
      <c r="X285" s="4"/>
      <c r="Y285" s="3"/>
      <c r="Z285" s="5"/>
    </row>
    <row r="286" spans="3:26" ht="14.55" x14ac:dyDescent="0.3">
      <c r="C286" s="48"/>
      <c r="D286" s="48"/>
      <c r="E286" s="48"/>
      <c r="F286" s="48"/>
      <c r="G286" s="48"/>
      <c r="H286" s="48"/>
      <c r="I286" s="48"/>
      <c r="J286" s="48"/>
      <c r="K286" s="48"/>
      <c r="L286" s="48"/>
      <c r="M286" s="48"/>
      <c r="N286" s="48"/>
      <c r="O286" s="48"/>
      <c r="P286" s="48"/>
      <c r="Q286" s="48"/>
      <c r="R286" s="48"/>
      <c r="S286" s="48"/>
      <c r="T286" s="48"/>
      <c r="X286" s="4"/>
      <c r="Y286" s="3"/>
      <c r="Z286" s="5"/>
    </row>
    <row r="287" spans="3:26" ht="14.55" x14ac:dyDescent="0.3">
      <c r="X287" s="4"/>
      <c r="Y287" s="3"/>
      <c r="Z287" s="5"/>
    </row>
    <row r="288" spans="3:26" ht="14.55" x14ac:dyDescent="0.3">
      <c r="X288" s="4"/>
      <c r="Y288" s="3"/>
      <c r="Z288" s="5"/>
    </row>
    <row r="289" spans="24:26" ht="14.55" x14ac:dyDescent="0.3">
      <c r="X289" s="4"/>
      <c r="Y289" s="3"/>
      <c r="Z289" s="5"/>
    </row>
    <row r="290" spans="24:26" ht="14.55" x14ac:dyDescent="0.3">
      <c r="X290" s="4"/>
      <c r="Y290" s="3"/>
      <c r="Z290" s="5"/>
    </row>
    <row r="291" spans="24:26" ht="14.55" x14ac:dyDescent="0.3">
      <c r="X291" s="4"/>
      <c r="Y291" s="3"/>
      <c r="Z291" s="5"/>
    </row>
    <row r="292" spans="24:26" ht="14.55" x14ac:dyDescent="0.3">
      <c r="X292" s="4"/>
      <c r="Y292" s="3"/>
      <c r="Z292" s="5"/>
    </row>
    <row r="293" spans="24:26" ht="14.55" x14ac:dyDescent="0.3">
      <c r="X293" s="4"/>
      <c r="Y293" s="3"/>
      <c r="Z293" s="5"/>
    </row>
    <row r="294" spans="24:26" ht="14.55" x14ac:dyDescent="0.3">
      <c r="X294" s="4"/>
      <c r="Y294" s="3"/>
      <c r="Z294" s="5"/>
    </row>
    <row r="295" spans="24:26" ht="14.55" x14ac:dyDescent="0.3">
      <c r="X295" s="4"/>
      <c r="Y295" s="3"/>
      <c r="Z295" s="5"/>
    </row>
    <row r="296" spans="24:26" ht="14.55" x14ac:dyDescent="0.3">
      <c r="X296" s="4"/>
      <c r="Y296" s="3"/>
      <c r="Z296" s="5"/>
    </row>
    <row r="297" spans="24:26" ht="14.55" x14ac:dyDescent="0.3">
      <c r="X297" s="4"/>
      <c r="Y297" s="3"/>
      <c r="Z297" s="5"/>
    </row>
    <row r="298" spans="24:26" ht="14.55" x14ac:dyDescent="0.3">
      <c r="X298" s="4"/>
      <c r="Y298" s="3"/>
      <c r="Z298" s="5"/>
    </row>
    <row r="299" spans="24:26" ht="14.55" x14ac:dyDescent="0.3">
      <c r="X299" s="4"/>
      <c r="Y299" s="3"/>
      <c r="Z299" s="5"/>
    </row>
    <row r="300" spans="24:26" ht="14.55" x14ac:dyDescent="0.3">
      <c r="X300" s="4"/>
      <c r="Y300" s="3"/>
      <c r="Z300" s="5"/>
    </row>
    <row r="301" spans="24:26" ht="14.55" x14ac:dyDescent="0.3">
      <c r="X301" s="4"/>
      <c r="Y301" s="3"/>
      <c r="Z301" s="5"/>
    </row>
    <row r="302" spans="24:26" ht="14.55" x14ac:dyDescent="0.3">
      <c r="X302" s="4"/>
      <c r="Y302" s="3"/>
      <c r="Z302" s="5"/>
    </row>
    <row r="303" spans="24:26" ht="14.55" x14ac:dyDescent="0.3">
      <c r="X303" s="4"/>
      <c r="Y303" s="3"/>
      <c r="Z303" s="5"/>
    </row>
    <row r="304" spans="24:26" ht="14.55" x14ac:dyDescent="0.3">
      <c r="X304" s="4"/>
      <c r="Y304" s="3"/>
      <c r="Z304" s="5"/>
    </row>
    <row r="305" spans="24:26" ht="14.55" x14ac:dyDescent="0.3">
      <c r="X305" s="4"/>
      <c r="Y305" s="3"/>
      <c r="Z305" s="5"/>
    </row>
    <row r="306" spans="24:26" ht="14.55" x14ac:dyDescent="0.3">
      <c r="X306" s="4"/>
      <c r="Y306" s="3"/>
      <c r="Z306" s="5"/>
    </row>
    <row r="307" spans="24:26" ht="14.55" x14ac:dyDescent="0.3">
      <c r="X307" s="4"/>
      <c r="Y307" s="3"/>
      <c r="Z307" s="5"/>
    </row>
    <row r="308" spans="24:26" ht="14.55" x14ac:dyDescent="0.3">
      <c r="X308" s="4"/>
      <c r="Y308" s="3"/>
      <c r="Z308" s="5"/>
    </row>
    <row r="309" spans="24:26" ht="14.55" x14ac:dyDescent="0.3">
      <c r="X309" s="4"/>
      <c r="Y309" s="3"/>
      <c r="Z309" s="5"/>
    </row>
    <row r="310" spans="24:26" ht="14.55" x14ac:dyDescent="0.3">
      <c r="X310" s="4"/>
      <c r="Y310" s="3"/>
      <c r="Z310" s="5"/>
    </row>
    <row r="311" spans="24:26" ht="14.55" x14ac:dyDescent="0.3">
      <c r="X311" s="4"/>
      <c r="Y311" s="3"/>
      <c r="Z311" s="5"/>
    </row>
    <row r="312" spans="24:26" ht="14.55" x14ac:dyDescent="0.3">
      <c r="X312" s="4"/>
      <c r="Y312" s="3"/>
      <c r="Z312" s="5"/>
    </row>
    <row r="313" spans="24:26" ht="14.55" x14ac:dyDescent="0.3">
      <c r="X313" s="4"/>
      <c r="Y313" s="3"/>
      <c r="Z313" s="5"/>
    </row>
    <row r="314" spans="24:26" ht="14.55" x14ac:dyDescent="0.3">
      <c r="X314" s="4"/>
      <c r="Y314" s="3"/>
      <c r="Z314" s="5"/>
    </row>
    <row r="315" spans="24:26" ht="14.55" x14ac:dyDescent="0.3">
      <c r="X315" s="4"/>
      <c r="Y315" s="3"/>
      <c r="Z315" s="5"/>
    </row>
    <row r="316" spans="24:26" ht="14.55" x14ac:dyDescent="0.3">
      <c r="X316" s="4"/>
      <c r="Y316" s="3"/>
      <c r="Z316" s="5"/>
    </row>
    <row r="317" spans="24:26" ht="14.55" x14ac:dyDescent="0.3">
      <c r="X317" s="4"/>
      <c r="Y317" s="3"/>
      <c r="Z317" s="5"/>
    </row>
    <row r="318" spans="24:26" ht="14.55" x14ac:dyDescent="0.3">
      <c r="X318" s="4"/>
      <c r="Y318" s="3"/>
      <c r="Z318" s="5"/>
    </row>
    <row r="319" spans="24:26" ht="14.55" x14ac:dyDescent="0.3">
      <c r="X319" s="4"/>
      <c r="Y319" s="3"/>
      <c r="Z319" s="5"/>
    </row>
    <row r="320" spans="24:26" ht="14.55" x14ac:dyDescent="0.3">
      <c r="X320" s="4"/>
      <c r="Y320" s="3"/>
      <c r="Z320" s="5"/>
    </row>
    <row r="321" spans="24:26" ht="14.55" x14ac:dyDescent="0.3">
      <c r="X321" s="4"/>
      <c r="Y321" s="3"/>
      <c r="Z321" s="5"/>
    </row>
    <row r="322" spans="24:26" ht="14.55" x14ac:dyDescent="0.3">
      <c r="X322" s="4"/>
      <c r="Y322" s="3"/>
      <c r="Z322" s="5"/>
    </row>
    <row r="323" spans="24:26" ht="14.55" x14ac:dyDescent="0.3">
      <c r="X323" s="4"/>
      <c r="Y323" s="3"/>
      <c r="Z323" s="5"/>
    </row>
    <row r="324" spans="24:26" ht="14.55" x14ac:dyDescent="0.3">
      <c r="X324" s="4"/>
      <c r="Y324" s="3"/>
      <c r="Z324" s="5"/>
    </row>
    <row r="325" spans="24:26" ht="14.55" x14ac:dyDescent="0.3">
      <c r="X325" s="4"/>
      <c r="Y325" s="3"/>
      <c r="Z325" s="5"/>
    </row>
    <row r="326" spans="24:26" ht="14.55" x14ac:dyDescent="0.3">
      <c r="X326" s="4"/>
      <c r="Y326" s="3"/>
      <c r="Z326" s="5"/>
    </row>
    <row r="327" spans="24:26" ht="14.55" x14ac:dyDescent="0.3">
      <c r="X327" s="4"/>
      <c r="Y327" s="3"/>
      <c r="Z327" s="5"/>
    </row>
    <row r="328" spans="24:26" ht="14.55" x14ac:dyDescent="0.3">
      <c r="X328" s="4"/>
      <c r="Y328" s="3"/>
      <c r="Z328" s="5"/>
    </row>
    <row r="329" spans="24:26" ht="14.55" x14ac:dyDescent="0.3">
      <c r="X329" s="4"/>
      <c r="Y329" s="3"/>
      <c r="Z329" s="5"/>
    </row>
    <row r="330" spans="24:26" ht="14.55" x14ac:dyDescent="0.3">
      <c r="X330" s="4"/>
      <c r="Y330" s="3"/>
      <c r="Z330" s="5"/>
    </row>
    <row r="331" spans="24:26" ht="14.55" x14ac:dyDescent="0.3">
      <c r="X331" s="4"/>
      <c r="Y331" s="3"/>
      <c r="Z331" s="5"/>
    </row>
    <row r="332" spans="24:26" ht="14.55" x14ac:dyDescent="0.3">
      <c r="X332" s="4"/>
      <c r="Y332" s="3"/>
      <c r="Z332" s="5"/>
    </row>
    <row r="333" spans="24:26" ht="14.55" x14ac:dyDescent="0.3">
      <c r="X333" s="4"/>
      <c r="Y333" s="3"/>
      <c r="Z333" s="5"/>
    </row>
    <row r="334" spans="24:26" ht="14.55" x14ac:dyDescent="0.3">
      <c r="X334" s="4"/>
      <c r="Y334" s="3"/>
      <c r="Z334" s="5"/>
    </row>
    <row r="335" spans="24:26" ht="14.55" x14ac:dyDescent="0.3">
      <c r="X335" s="4"/>
      <c r="Y335" s="3"/>
      <c r="Z335" s="5"/>
    </row>
    <row r="336" spans="24:26" ht="14.55" x14ac:dyDescent="0.3">
      <c r="X336" s="4"/>
      <c r="Y336" s="3"/>
      <c r="Z336" s="5"/>
    </row>
    <row r="337" spans="24:26" ht="14.55" x14ac:dyDescent="0.3">
      <c r="X337" s="4"/>
      <c r="Y337" s="3"/>
      <c r="Z337" s="5"/>
    </row>
    <row r="338" spans="24:26" ht="14.55" x14ac:dyDescent="0.3">
      <c r="X338" s="4"/>
      <c r="Y338" s="3"/>
      <c r="Z338" s="5"/>
    </row>
    <row r="339" spans="24:26" ht="14.55" x14ac:dyDescent="0.3">
      <c r="X339" s="4"/>
      <c r="Y339" s="3"/>
      <c r="Z339" s="5"/>
    </row>
    <row r="340" spans="24:26" ht="14.55" x14ac:dyDescent="0.3">
      <c r="X340" s="4"/>
      <c r="Y340" s="3"/>
      <c r="Z340" s="5"/>
    </row>
    <row r="341" spans="24:26" ht="14.55" x14ac:dyDescent="0.3">
      <c r="X341" s="4"/>
      <c r="Y341" s="3"/>
      <c r="Z341" s="5"/>
    </row>
    <row r="342" spans="24:26" ht="14.55" x14ac:dyDescent="0.3">
      <c r="X342" s="4"/>
      <c r="Y342" s="3"/>
      <c r="Z342" s="5"/>
    </row>
    <row r="343" spans="24:26" ht="14.55" x14ac:dyDescent="0.3">
      <c r="X343" s="4"/>
      <c r="Y343" s="3"/>
      <c r="Z343" s="5"/>
    </row>
    <row r="344" spans="24:26" ht="14.55" x14ac:dyDescent="0.3">
      <c r="X344" s="4"/>
      <c r="Y344" s="3"/>
      <c r="Z344" s="5"/>
    </row>
    <row r="345" spans="24:26" ht="14.55" x14ac:dyDescent="0.3">
      <c r="X345" s="4"/>
      <c r="Y345" s="3"/>
      <c r="Z345" s="5"/>
    </row>
    <row r="346" spans="24:26" ht="14.55" x14ac:dyDescent="0.3">
      <c r="X346" s="4"/>
      <c r="Y346" s="3"/>
      <c r="Z346" s="5"/>
    </row>
    <row r="347" spans="24:26" ht="14.55" x14ac:dyDescent="0.3">
      <c r="X347" s="4"/>
      <c r="Y347" s="3"/>
      <c r="Z347" s="5"/>
    </row>
    <row r="348" spans="24:26" ht="14.55" x14ac:dyDescent="0.3">
      <c r="X348" s="4"/>
      <c r="Y348" s="3"/>
      <c r="Z348" s="5"/>
    </row>
    <row r="349" spans="24:26" ht="14.55" x14ac:dyDescent="0.3">
      <c r="X349" s="4"/>
      <c r="Y349" s="3"/>
      <c r="Z349" s="5"/>
    </row>
    <row r="350" spans="24:26" ht="14.55" x14ac:dyDescent="0.3">
      <c r="X350" s="4"/>
      <c r="Y350" s="3"/>
      <c r="Z350" s="5"/>
    </row>
    <row r="351" spans="24:26" ht="14.55" x14ac:dyDescent="0.3">
      <c r="X351" s="4"/>
      <c r="Y351" s="3"/>
      <c r="Z351" s="5"/>
    </row>
    <row r="352" spans="24:26" ht="14.55" x14ac:dyDescent="0.3">
      <c r="X352" s="4"/>
      <c r="Y352" s="3"/>
      <c r="Z352" s="5"/>
    </row>
    <row r="353" spans="24:26" ht="14.55" x14ac:dyDescent="0.3">
      <c r="X353" s="4"/>
      <c r="Y353" s="3"/>
      <c r="Z353" s="5"/>
    </row>
    <row r="354" spans="24:26" ht="14.55" x14ac:dyDescent="0.3">
      <c r="X354" s="4"/>
      <c r="Y354" s="3"/>
      <c r="Z354" s="5"/>
    </row>
    <row r="355" spans="24:26" ht="14.55" x14ac:dyDescent="0.3">
      <c r="X355" s="4"/>
      <c r="Y355" s="3"/>
      <c r="Z355" s="5"/>
    </row>
    <row r="356" spans="24:26" ht="14.55" x14ac:dyDescent="0.3">
      <c r="X356" s="4"/>
      <c r="Y356" s="3"/>
      <c r="Z356" s="5"/>
    </row>
    <row r="357" spans="24:26" ht="14.55" x14ac:dyDescent="0.3">
      <c r="X357" s="4"/>
      <c r="Y357" s="3"/>
      <c r="Z357" s="5"/>
    </row>
    <row r="358" spans="24:26" ht="14.55" x14ac:dyDescent="0.3">
      <c r="X358" s="4"/>
      <c r="Y358" s="3"/>
      <c r="Z358" s="5"/>
    </row>
    <row r="359" spans="24:26" ht="14.55" x14ac:dyDescent="0.3">
      <c r="X359" s="4"/>
      <c r="Y359" s="3"/>
      <c r="Z359" s="5"/>
    </row>
    <row r="360" spans="24:26" ht="14.55" x14ac:dyDescent="0.3">
      <c r="X360" s="4"/>
      <c r="Y360" s="3"/>
      <c r="Z360" s="5"/>
    </row>
    <row r="361" spans="24:26" ht="14.55" x14ac:dyDescent="0.3">
      <c r="X361" s="4"/>
      <c r="Y361" s="3"/>
      <c r="Z361" s="5"/>
    </row>
    <row r="362" spans="24:26" ht="14.55" x14ac:dyDescent="0.3">
      <c r="X362" s="4"/>
      <c r="Y362" s="3"/>
      <c r="Z362" s="5"/>
    </row>
    <row r="363" spans="24:26" ht="14.55" x14ac:dyDescent="0.3">
      <c r="X363" s="4"/>
      <c r="Y363" s="3"/>
      <c r="Z363" s="5"/>
    </row>
    <row r="364" spans="24:26" ht="14.55" x14ac:dyDescent="0.3">
      <c r="X364" s="4"/>
      <c r="Y364" s="3"/>
      <c r="Z364" s="5"/>
    </row>
    <row r="365" spans="24:26" ht="14.55" x14ac:dyDescent="0.3">
      <c r="X365" s="4"/>
      <c r="Y365" s="3"/>
      <c r="Z365" s="5"/>
    </row>
    <row r="366" spans="24:26" ht="14.55" x14ac:dyDescent="0.3">
      <c r="X366" s="4"/>
      <c r="Y366" s="3"/>
      <c r="Z366" s="5"/>
    </row>
    <row r="367" spans="24:26" ht="14.55" x14ac:dyDescent="0.3">
      <c r="X367" s="4"/>
      <c r="Y367" s="3"/>
      <c r="Z367" s="5"/>
    </row>
    <row r="368" spans="24:26" ht="14.55" x14ac:dyDescent="0.3">
      <c r="X368" s="4"/>
      <c r="Y368" s="3"/>
      <c r="Z368" s="5"/>
    </row>
    <row r="369" spans="24:26" ht="14.55" x14ac:dyDescent="0.3">
      <c r="X369" s="4"/>
      <c r="Y369" s="3"/>
      <c r="Z369" s="5"/>
    </row>
    <row r="370" spans="24:26" ht="14.55" x14ac:dyDescent="0.3">
      <c r="X370" s="4"/>
      <c r="Y370" s="3"/>
      <c r="Z370" s="5"/>
    </row>
    <row r="371" spans="24:26" ht="14.55" x14ac:dyDescent="0.3">
      <c r="X371" s="4"/>
      <c r="Y371" s="3"/>
      <c r="Z371" s="5"/>
    </row>
    <row r="372" spans="24:26" ht="14.55" x14ac:dyDescent="0.3">
      <c r="X372" s="4"/>
      <c r="Y372" s="3"/>
      <c r="Z372" s="5"/>
    </row>
    <row r="373" spans="24:26" ht="14.55" x14ac:dyDescent="0.3">
      <c r="X373" s="4"/>
      <c r="Y373" s="3"/>
      <c r="Z373" s="5"/>
    </row>
    <row r="374" spans="24:26" ht="14.55" x14ac:dyDescent="0.3">
      <c r="X374" s="4"/>
      <c r="Y374" s="3"/>
      <c r="Z374" s="5"/>
    </row>
    <row r="375" spans="24:26" ht="14.55" x14ac:dyDescent="0.3">
      <c r="X375" s="4"/>
      <c r="Y375" s="3"/>
      <c r="Z375" s="5"/>
    </row>
    <row r="376" spans="24:26" ht="14.55" x14ac:dyDescent="0.3">
      <c r="X376" s="4"/>
      <c r="Y376" s="3"/>
      <c r="Z376" s="5"/>
    </row>
    <row r="377" spans="24:26" ht="14.55" x14ac:dyDescent="0.3">
      <c r="X377" s="4"/>
      <c r="Y377" s="3"/>
      <c r="Z377" s="5"/>
    </row>
    <row r="378" spans="24:26" ht="14.55" x14ac:dyDescent="0.3">
      <c r="X378" s="4"/>
      <c r="Y378" s="3"/>
      <c r="Z378" s="5"/>
    </row>
    <row r="379" spans="24:26" ht="14.55" x14ac:dyDescent="0.3">
      <c r="X379" s="4"/>
      <c r="Y379" s="3"/>
      <c r="Z379" s="5"/>
    </row>
    <row r="380" spans="24:26" ht="14.55" x14ac:dyDescent="0.3">
      <c r="X380" s="4"/>
      <c r="Y380" s="3"/>
      <c r="Z380" s="5"/>
    </row>
    <row r="381" spans="24:26" ht="14.55" x14ac:dyDescent="0.3">
      <c r="X381" s="4"/>
      <c r="Y381" s="3"/>
      <c r="Z381" s="5"/>
    </row>
    <row r="382" spans="24:26" ht="14.55" x14ac:dyDescent="0.3">
      <c r="X382" s="4"/>
      <c r="Y382" s="3"/>
      <c r="Z382" s="5"/>
    </row>
    <row r="383" spans="24:26" ht="14.55" x14ac:dyDescent="0.3">
      <c r="X383" s="4"/>
      <c r="Y383" s="3"/>
      <c r="Z383" s="5"/>
    </row>
    <row r="384" spans="24:26" ht="14.55" x14ac:dyDescent="0.3">
      <c r="X384" s="4"/>
      <c r="Y384" s="3"/>
      <c r="Z384" s="5"/>
    </row>
    <row r="385" spans="24:26" ht="14.55" x14ac:dyDescent="0.3">
      <c r="X385" s="4"/>
      <c r="Y385" s="3"/>
      <c r="Z385" s="5"/>
    </row>
    <row r="386" spans="24:26" ht="14.55" x14ac:dyDescent="0.3">
      <c r="X386" s="4"/>
      <c r="Y386" s="3"/>
      <c r="Z386" s="5"/>
    </row>
    <row r="387" spans="24:26" ht="14.55" x14ac:dyDescent="0.3">
      <c r="X387" s="4"/>
      <c r="Y387" s="3"/>
      <c r="Z387" s="5"/>
    </row>
    <row r="388" spans="24:26" ht="14.55" x14ac:dyDescent="0.3">
      <c r="X388" s="4"/>
      <c r="Y388" s="3"/>
      <c r="Z388" s="5"/>
    </row>
    <row r="389" spans="24:26" ht="14.55" x14ac:dyDescent="0.3">
      <c r="X389" s="4"/>
      <c r="Y389" s="3"/>
      <c r="Z389" s="5"/>
    </row>
    <row r="390" spans="24:26" ht="14.55" x14ac:dyDescent="0.3">
      <c r="X390" s="4"/>
      <c r="Y390" s="3"/>
      <c r="Z390" s="5"/>
    </row>
    <row r="391" spans="24:26" ht="14.55" x14ac:dyDescent="0.3">
      <c r="X391" s="4"/>
      <c r="Y391" s="3"/>
      <c r="Z391" s="5"/>
    </row>
    <row r="392" spans="24:26" ht="14.55" x14ac:dyDescent="0.3">
      <c r="X392" s="4"/>
      <c r="Y392" s="3"/>
      <c r="Z392" s="5"/>
    </row>
    <row r="393" spans="24:26" ht="14.55" x14ac:dyDescent="0.3">
      <c r="X393" s="4"/>
      <c r="Y393" s="3"/>
      <c r="Z393" s="5"/>
    </row>
    <row r="394" spans="24:26" ht="14.55" x14ac:dyDescent="0.3">
      <c r="X394" s="4"/>
      <c r="Y394" s="3"/>
      <c r="Z394" s="5"/>
    </row>
    <row r="395" spans="24:26" ht="14.55" x14ac:dyDescent="0.3">
      <c r="X395" s="4"/>
      <c r="Y395" s="3"/>
      <c r="Z395" s="5"/>
    </row>
    <row r="396" spans="24:26" ht="14.55" x14ac:dyDescent="0.3">
      <c r="X396" s="4"/>
      <c r="Y396" s="3"/>
      <c r="Z396" s="5"/>
    </row>
    <row r="397" spans="24:26" ht="14.55" x14ac:dyDescent="0.3">
      <c r="X397" s="4"/>
      <c r="Y397" s="3"/>
      <c r="Z397" s="5"/>
    </row>
    <row r="398" spans="24:26" ht="14.55" x14ac:dyDescent="0.3">
      <c r="X398" s="4"/>
      <c r="Y398" s="3"/>
      <c r="Z398" s="5"/>
    </row>
    <row r="399" spans="24:26" ht="14.55" x14ac:dyDescent="0.3">
      <c r="X399" s="4"/>
      <c r="Y399" s="3"/>
      <c r="Z399" s="5"/>
    </row>
    <row r="400" spans="24:26" ht="14.55" x14ac:dyDescent="0.3">
      <c r="X400" s="4"/>
      <c r="Y400" s="3"/>
      <c r="Z400" s="5"/>
    </row>
    <row r="401" spans="24:26" ht="14.55" x14ac:dyDescent="0.3">
      <c r="X401" s="4"/>
      <c r="Y401" s="3"/>
      <c r="Z401" s="5"/>
    </row>
    <row r="402" spans="24:26" ht="14.55" x14ac:dyDescent="0.3">
      <c r="X402" s="4"/>
      <c r="Y402" s="3"/>
      <c r="Z402" s="5"/>
    </row>
    <row r="403" spans="24:26" ht="14.55" x14ac:dyDescent="0.3">
      <c r="X403" s="4"/>
      <c r="Y403" s="3"/>
      <c r="Z403" s="5"/>
    </row>
    <row r="404" spans="24:26" ht="14.55" x14ac:dyDescent="0.3">
      <c r="X404" s="4"/>
      <c r="Y404" s="3"/>
      <c r="Z404" s="5"/>
    </row>
    <row r="405" spans="24:26" ht="14.55" x14ac:dyDescent="0.3">
      <c r="X405" s="4"/>
      <c r="Y405" s="3"/>
      <c r="Z405" s="5"/>
    </row>
    <row r="406" spans="24:26" ht="14.55" x14ac:dyDescent="0.3">
      <c r="X406" s="4"/>
      <c r="Y406" s="3"/>
      <c r="Z406" s="5"/>
    </row>
    <row r="407" spans="24:26" ht="14.55" x14ac:dyDescent="0.3">
      <c r="X407" s="4"/>
      <c r="Y407" s="3"/>
      <c r="Z407" s="5"/>
    </row>
    <row r="408" spans="24:26" ht="14.55" x14ac:dyDescent="0.3">
      <c r="X408" s="4"/>
      <c r="Y408" s="3"/>
      <c r="Z408" s="5"/>
    </row>
    <row r="409" spans="24:26" ht="14.55" x14ac:dyDescent="0.3">
      <c r="X409" s="4"/>
      <c r="Y409" s="3"/>
      <c r="Z409" s="5"/>
    </row>
    <row r="410" spans="24:26" ht="14.55" x14ac:dyDescent="0.3">
      <c r="X410" s="4"/>
      <c r="Y410" s="3"/>
      <c r="Z410" s="5"/>
    </row>
    <row r="411" spans="24:26" ht="14.55" x14ac:dyDescent="0.3">
      <c r="X411" s="4"/>
      <c r="Y411" s="3"/>
      <c r="Z411" s="5"/>
    </row>
    <row r="412" spans="24:26" ht="14.55" x14ac:dyDescent="0.3">
      <c r="X412" s="4"/>
      <c r="Y412" s="3"/>
      <c r="Z412" s="5"/>
    </row>
    <row r="413" spans="24:26" ht="14.55" x14ac:dyDescent="0.3">
      <c r="X413" s="4"/>
      <c r="Y413" s="3"/>
      <c r="Z413" s="5"/>
    </row>
    <row r="414" spans="24:26" ht="14.55" x14ac:dyDescent="0.3">
      <c r="X414" s="4"/>
      <c r="Y414" s="3"/>
      <c r="Z414" s="5"/>
    </row>
    <row r="415" spans="24:26" ht="14.55" x14ac:dyDescent="0.3">
      <c r="X415" s="4"/>
      <c r="Y415" s="3"/>
      <c r="Z415" s="5"/>
    </row>
    <row r="416" spans="24:26" ht="14.55" x14ac:dyDescent="0.3">
      <c r="X416" s="4"/>
      <c r="Y416" s="3"/>
      <c r="Z416" s="5"/>
    </row>
    <row r="417" spans="24:26" ht="14.55" x14ac:dyDescent="0.3">
      <c r="X417" s="4"/>
      <c r="Y417" s="3"/>
      <c r="Z417" s="5"/>
    </row>
    <row r="418" spans="24:26" ht="14.55" x14ac:dyDescent="0.3">
      <c r="X418" s="4"/>
      <c r="Y418" s="3"/>
      <c r="Z418" s="5"/>
    </row>
    <row r="419" spans="24:26" ht="14.55" x14ac:dyDescent="0.3">
      <c r="X419" s="4"/>
      <c r="Y419" s="3"/>
      <c r="Z419" s="5"/>
    </row>
    <row r="420" spans="24:26" ht="14.55" x14ac:dyDescent="0.3">
      <c r="X420" s="4"/>
      <c r="Y420" s="3"/>
      <c r="Z420" s="5"/>
    </row>
    <row r="421" spans="24:26" ht="14.55" x14ac:dyDescent="0.3">
      <c r="X421" s="4"/>
      <c r="Y421" s="3"/>
      <c r="Z421" s="5"/>
    </row>
    <row r="422" spans="24:26" ht="14.55" x14ac:dyDescent="0.3">
      <c r="X422" s="4"/>
      <c r="Y422" s="3"/>
      <c r="Z422" s="5"/>
    </row>
    <row r="423" spans="24:26" ht="14.55" x14ac:dyDescent="0.3">
      <c r="X423" s="4"/>
      <c r="Y423" s="3"/>
      <c r="Z423" s="5"/>
    </row>
    <row r="424" spans="24:26" ht="14.55" x14ac:dyDescent="0.3">
      <c r="X424" s="4"/>
      <c r="Y424" s="3"/>
      <c r="Z424" s="5"/>
    </row>
    <row r="425" spans="24:26" ht="14.55" x14ac:dyDescent="0.3">
      <c r="X425" s="4"/>
      <c r="Y425" s="3"/>
      <c r="Z425" s="5"/>
    </row>
    <row r="426" spans="24:26" ht="14.55" x14ac:dyDescent="0.3">
      <c r="X426" s="4"/>
      <c r="Y426" s="3"/>
      <c r="Z426" s="5"/>
    </row>
    <row r="427" spans="24:26" ht="14.55" x14ac:dyDescent="0.3">
      <c r="X427" s="4"/>
      <c r="Y427" s="3"/>
      <c r="Z427" s="5"/>
    </row>
    <row r="428" spans="24:26" ht="14.55" x14ac:dyDescent="0.3">
      <c r="X428" s="4"/>
      <c r="Y428" s="3"/>
      <c r="Z428" s="5"/>
    </row>
    <row r="429" spans="24:26" ht="14.55" x14ac:dyDescent="0.3">
      <c r="X429" s="4"/>
      <c r="Y429" s="3"/>
      <c r="Z429" s="5"/>
    </row>
    <row r="430" spans="24:26" ht="14.55" x14ac:dyDescent="0.3">
      <c r="X430" s="4"/>
      <c r="Y430" s="3"/>
      <c r="Z430" s="5"/>
    </row>
    <row r="431" spans="24:26" ht="14.55" x14ac:dyDescent="0.3">
      <c r="X431" s="4"/>
      <c r="Y431" s="3"/>
      <c r="Z431" s="5"/>
    </row>
    <row r="432" spans="24:26" ht="14.55" x14ac:dyDescent="0.3">
      <c r="X432" s="4"/>
      <c r="Y432" s="3"/>
      <c r="Z432" s="5"/>
    </row>
    <row r="433" spans="24:26" ht="14.55" x14ac:dyDescent="0.3">
      <c r="X433" s="4"/>
      <c r="Y433" s="3"/>
      <c r="Z433" s="5"/>
    </row>
    <row r="434" spans="24:26" ht="14.55" x14ac:dyDescent="0.3">
      <c r="X434" s="4"/>
      <c r="Y434" s="3"/>
      <c r="Z434" s="5"/>
    </row>
    <row r="435" spans="24:26" ht="14.55" x14ac:dyDescent="0.3">
      <c r="X435" s="4"/>
      <c r="Y435" s="3"/>
      <c r="Z435" s="5"/>
    </row>
    <row r="436" spans="24:26" ht="14.55" x14ac:dyDescent="0.3">
      <c r="X436" s="4"/>
      <c r="Y436" s="3"/>
      <c r="Z436" s="5"/>
    </row>
    <row r="437" spans="24:26" ht="14.55" x14ac:dyDescent="0.3">
      <c r="X437" s="4"/>
      <c r="Y437" s="3"/>
      <c r="Z437" s="5"/>
    </row>
    <row r="438" spans="24:26" ht="14.55" x14ac:dyDescent="0.3">
      <c r="X438" s="4"/>
      <c r="Y438" s="3"/>
      <c r="Z438" s="5"/>
    </row>
    <row r="439" spans="24:26" ht="14.55" x14ac:dyDescent="0.3">
      <c r="X439" s="4"/>
      <c r="Y439" s="3"/>
      <c r="Z439" s="5"/>
    </row>
    <row r="440" spans="24:26" ht="14.55" x14ac:dyDescent="0.3">
      <c r="X440" s="4"/>
      <c r="Y440" s="3"/>
      <c r="Z440" s="5"/>
    </row>
    <row r="441" spans="24:26" ht="14.55" x14ac:dyDescent="0.3">
      <c r="X441" s="4"/>
      <c r="Y441" s="3"/>
      <c r="Z441" s="5"/>
    </row>
    <row r="442" spans="24:26" ht="14.55" x14ac:dyDescent="0.3">
      <c r="X442" s="4"/>
      <c r="Y442" s="3"/>
      <c r="Z442" s="5"/>
    </row>
    <row r="443" spans="24:26" ht="14.55" x14ac:dyDescent="0.3">
      <c r="X443" s="4"/>
      <c r="Y443" s="3"/>
      <c r="Z443" s="5"/>
    </row>
    <row r="444" spans="24:26" ht="14.55" x14ac:dyDescent="0.3">
      <c r="X444" s="4"/>
      <c r="Y444" s="3"/>
      <c r="Z444" s="5"/>
    </row>
    <row r="445" spans="24:26" ht="14.55" x14ac:dyDescent="0.3">
      <c r="X445" s="4"/>
      <c r="Y445" s="3"/>
      <c r="Z445" s="5"/>
    </row>
    <row r="446" spans="24:26" ht="14.55" x14ac:dyDescent="0.3">
      <c r="X446" s="4"/>
      <c r="Y446" s="3"/>
      <c r="Z446" s="5"/>
    </row>
    <row r="447" spans="24:26" ht="14.55" x14ac:dyDescent="0.3">
      <c r="X447" s="4"/>
      <c r="Y447" s="3"/>
      <c r="Z447" s="5"/>
    </row>
    <row r="448" spans="24:26" ht="14.55" x14ac:dyDescent="0.3">
      <c r="X448" s="4"/>
      <c r="Y448" s="3"/>
      <c r="Z448" s="5"/>
    </row>
    <row r="449" spans="24:26" ht="14.55" x14ac:dyDescent="0.3">
      <c r="X449" s="4"/>
      <c r="Y449" s="3"/>
      <c r="Z449" s="5"/>
    </row>
    <row r="450" spans="24:26" ht="14.55" x14ac:dyDescent="0.3">
      <c r="X450" s="4"/>
      <c r="Y450" s="3"/>
      <c r="Z450" s="5"/>
    </row>
    <row r="451" spans="24:26" ht="14.55" x14ac:dyDescent="0.3">
      <c r="X451" s="4"/>
      <c r="Y451" s="3"/>
      <c r="Z451" s="5"/>
    </row>
    <row r="452" spans="24:26" ht="14.55" x14ac:dyDescent="0.3">
      <c r="X452" s="4"/>
      <c r="Y452" s="3"/>
      <c r="Z452" s="5"/>
    </row>
    <row r="453" spans="24:26" ht="14.55" x14ac:dyDescent="0.3">
      <c r="X453" s="4"/>
      <c r="Y453" s="3"/>
      <c r="Z453" s="5"/>
    </row>
    <row r="454" spans="24:26" ht="14.55" x14ac:dyDescent="0.3">
      <c r="X454" s="4"/>
      <c r="Y454" s="3"/>
      <c r="Z454" s="5"/>
    </row>
    <row r="455" spans="24:26" ht="14.55" x14ac:dyDescent="0.3">
      <c r="X455" s="4"/>
      <c r="Y455" s="3"/>
      <c r="Z455" s="5"/>
    </row>
    <row r="456" spans="24:26" ht="14.55" x14ac:dyDescent="0.3">
      <c r="X456" s="4"/>
      <c r="Y456" s="3"/>
      <c r="Z456" s="5"/>
    </row>
    <row r="457" spans="24:26" ht="14.55" x14ac:dyDescent="0.3">
      <c r="X457" s="4"/>
      <c r="Y457" s="3"/>
      <c r="Z457" s="5"/>
    </row>
    <row r="458" spans="24:26" ht="14.55" x14ac:dyDescent="0.3">
      <c r="X458" s="4"/>
      <c r="Y458" s="3"/>
      <c r="Z458" s="5"/>
    </row>
    <row r="459" spans="24:26" ht="14.55" x14ac:dyDescent="0.3">
      <c r="X459" s="4"/>
      <c r="Y459" s="3"/>
      <c r="Z459" s="5"/>
    </row>
    <row r="460" spans="24:26" ht="14.55" x14ac:dyDescent="0.3">
      <c r="X460" s="4"/>
      <c r="Y460" s="3"/>
      <c r="Z460" s="5"/>
    </row>
    <row r="461" spans="24:26" ht="14.55" x14ac:dyDescent="0.3">
      <c r="X461" s="4"/>
      <c r="Y461" s="3"/>
      <c r="Z461" s="5"/>
    </row>
    <row r="462" spans="24:26" ht="14.55" x14ac:dyDescent="0.3">
      <c r="X462" s="4"/>
      <c r="Y462" s="3"/>
      <c r="Z462" s="5"/>
    </row>
    <row r="463" spans="24:26" ht="14.55" x14ac:dyDescent="0.3">
      <c r="X463" s="4"/>
      <c r="Y463" s="3"/>
      <c r="Z463" s="5"/>
    </row>
    <row r="464" spans="24:26" ht="14.55" x14ac:dyDescent="0.3">
      <c r="X464" s="4"/>
      <c r="Y464" s="3"/>
      <c r="Z464" s="5"/>
    </row>
    <row r="465" spans="24:26" ht="14.55" x14ac:dyDescent="0.3">
      <c r="X465" s="4"/>
      <c r="Y465" s="3"/>
      <c r="Z465" s="5"/>
    </row>
    <row r="466" spans="24:26" ht="14.55" x14ac:dyDescent="0.3">
      <c r="X466" s="4"/>
      <c r="Y466" s="3"/>
      <c r="Z466" s="5"/>
    </row>
    <row r="467" spans="24:26" ht="14.55" x14ac:dyDescent="0.3">
      <c r="X467" s="4"/>
      <c r="Y467" s="3"/>
      <c r="Z467" s="5"/>
    </row>
    <row r="468" spans="24:26" ht="14.55" x14ac:dyDescent="0.3">
      <c r="X468" s="4"/>
      <c r="Y468" s="3"/>
      <c r="Z468" s="5"/>
    </row>
    <row r="469" spans="24:26" ht="14.55" x14ac:dyDescent="0.3">
      <c r="X469" s="4"/>
      <c r="Y469" s="3"/>
      <c r="Z469" s="5"/>
    </row>
    <row r="470" spans="24:26" ht="14.55" x14ac:dyDescent="0.3">
      <c r="X470" s="4"/>
      <c r="Y470" s="3"/>
      <c r="Z470" s="5"/>
    </row>
    <row r="471" spans="24:26" ht="14.55" x14ac:dyDescent="0.3">
      <c r="X471" s="4"/>
      <c r="Y471" s="3"/>
      <c r="Z471" s="5"/>
    </row>
    <row r="472" spans="24:26" ht="14.55" x14ac:dyDescent="0.3">
      <c r="X472" s="4"/>
      <c r="Y472" s="3"/>
      <c r="Z472" s="5"/>
    </row>
    <row r="473" spans="24:26" ht="14.55" x14ac:dyDescent="0.3">
      <c r="X473" s="4"/>
      <c r="Y473" s="3"/>
      <c r="Z473" s="5"/>
    </row>
    <row r="474" spans="24:26" ht="14.55" x14ac:dyDescent="0.3">
      <c r="X474" s="4"/>
      <c r="Y474" s="3"/>
      <c r="Z474" s="5"/>
    </row>
    <row r="475" spans="24:26" ht="14.55" x14ac:dyDescent="0.3">
      <c r="X475" s="4"/>
      <c r="Y475" s="3"/>
      <c r="Z475" s="5"/>
    </row>
    <row r="476" spans="24:26" ht="14.55" x14ac:dyDescent="0.3">
      <c r="X476" s="4"/>
      <c r="Y476" s="3"/>
      <c r="Z476" s="5"/>
    </row>
    <row r="477" spans="24:26" ht="14.55" x14ac:dyDescent="0.3">
      <c r="X477" s="4"/>
      <c r="Y477" s="3"/>
      <c r="Z477" s="5"/>
    </row>
    <row r="478" spans="24:26" ht="14.55" x14ac:dyDescent="0.3">
      <c r="X478" s="4"/>
      <c r="Y478" s="3"/>
      <c r="Z478" s="5"/>
    </row>
    <row r="479" spans="24:26" ht="14.55" x14ac:dyDescent="0.3">
      <c r="X479" s="4"/>
      <c r="Y479" s="3"/>
      <c r="Z479" s="5"/>
    </row>
    <row r="480" spans="24:26" ht="14.55" x14ac:dyDescent="0.3">
      <c r="X480" s="4"/>
      <c r="Y480" s="3"/>
      <c r="Z480" s="5"/>
    </row>
    <row r="481" spans="24:26" ht="14.55" x14ac:dyDescent="0.3">
      <c r="X481" s="4"/>
      <c r="Y481" s="3"/>
      <c r="Z481" s="5"/>
    </row>
    <row r="482" spans="24:26" ht="14.55" x14ac:dyDescent="0.3">
      <c r="X482" s="4"/>
      <c r="Y482" s="3"/>
      <c r="Z482" s="5"/>
    </row>
    <row r="483" spans="24:26" ht="14.55" x14ac:dyDescent="0.3">
      <c r="X483" s="4"/>
      <c r="Y483" s="3"/>
      <c r="Z483" s="5"/>
    </row>
    <row r="484" spans="24:26" ht="14.55" x14ac:dyDescent="0.3">
      <c r="X484" s="4"/>
      <c r="Y484" s="3"/>
      <c r="Z484" s="5"/>
    </row>
    <row r="485" spans="24:26" ht="14.55" x14ac:dyDescent="0.3">
      <c r="X485" s="4"/>
      <c r="Y485" s="3"/>
      <c r="Z485" s="5"/>
    </row>
    <row r="486" spans="24:26" ht="14.55" x14ac:dyDescent="0.3">
      <c r="X486" s="4"/>
      <c r="Y486" s="3"/>
      <c r="Z486" s="5"/>
    </row>
    <row r="487" spans="24:26" ht="14.55" x14ac:dyDescent="0.3">
      <c r="X487" s="4"/>
      <c r="Y487" s="3"/>
      <c r="Z487" s="5"/>
    </row>
    <row r="488" spans="24:26" ht="14.55" x14ac:dyDescent="0.3">
      <c r="X488" s="4"/>
      <c r="Y488" s="3"/>
      <c r="Z488" s="5"/>
    </row>
    <row r="489" spans="24:26" ht="14.55" x14ac:dyDescent="0.3">
      <c r="X489" s="4"/>
      <c r="Y489" s="3"/>
      <c r="Z489" s="5"/>
    </row>
    <row r="490" spans="24:26" ht="14.55" x14ac:dyDescent="0.3">
      <c r="X490" s="4"/>
      <c r="Y490" s="3"/>
      <c r="Z490" s="5"/>
    </row>
    <row r="491" spans="24:26" ht="14.55" x14ac:dyDescent="0.3">
      <c r="X491" s="4"/>
      <c r="Y491" s="3"/>
      <c r="Z491" s="5"/>
    </row>
    <row r="492" spans="24:26" ht="14.55" x14ac:dyDescent="0.3">
      <c r="X492" s="4"/>
      <c r="Y492" s="3"/>
      <c r="Z492" s="5"/>
    </row>
    <row r="493" spans="24:26" ht="14.55" x14ac:dyDescent="0.3">
      <c r="X493" s="4"/>
      <c r="Y493" s="3"/>
      <c r="Z493" s="5"/>
    </row>
    <row r="494" spans="24:26" ht="14.55" x14ac:dyDescent="0.3">
      <c r="X494" s="4"/>
      <c r="Y494" s="3"/>
      <c r="Z494" s="5"/>
    </row>
    <row r="495" spans="24:26" ht="14.55" x14ac:dyDescent="0.3">
      <c r="X495" s="4"/>
      <c r="Y495" s="3"/>
      <c r="Z495" s="5"/>
    </row>
    <row r="496" spans="24:26" ht="14.55" x14ac:dyDescent="0.3">
      <c r="X496" s="4"/>
      <c r="Y496" s="3"/>
      <c r="Z496" s="5"/>
    </row>
    <row r="497" spans="24:26" ht="14.55" x14ac:dyDescent="0.3">
      <c r="X497" s="4"/>
      <c r="Y497" s="3"/>
      <c r="Z497" s="5"/>
    </row>
    <row r="498" spans="24:26" ht="14.55" x14ac:dyDescent="0.3">
      <c r="X498" s="4"/>
      <c r="Y498" s="3"/>
      <c r="Z498" s="5"/>
    </row>
    <row r="499" spans="24:26" ht="14.55" x14ac:dyDescent="0.3">
      <c r="X499" s="4"/>
      <c r="Y499" s="3"/>
      <c r="Z499" s="5"/>
    </row>
    <row r="500" spans="24:26" ht="14.55" x14ac:dyDescent="0.3">
      <c r="X500" s="4"/>
      <c r="Y500" s="3"/>
      <c r="Z500" s="5"/>
    </row>
    <row r="501" spans="24:26" ht="14.55" x14ac:dyDescent="0.3">
      <c r="X501" s="4"/>
      <c r="Y501" s="3"/>
      <c r="Z501" s="5"/>
    </row>
    <row r="502" spans="24:26" ht="14.55" x14ac:dyDescent="0.3">
      <c r="X502" s="4"/>
      <c r="Y502" s="3"/>
      <c r="Z502" s="5"/>
    </row>
    <row r="503" spans="24:26" ht="14.55" x14ac:dyDescent="0.3">
      <c r="X503" s="4"/>
      <c r="Y503" s="3"/>
      <c r="Z503" s="5"/>
    </row>
    <row r="504" spans="24:26" ht="14.55" x14ac:dyDescent="0.3">
      <c r="X504" s="4"/>
      <c r="Y504" s="3"/>
      <c r="Z504" s="5"/>
    </row>
    <row r="505" spans="24:26" ht="14.55" x14ac:dyDescent="0.3">
      <c r="X505" s="4"/>
      <c r="Y505" s="3"/>
      <c r="Z505" s="5"/>
    </row>
    <row r="506" spans="24:26" ht="14.55" x14ac:dyDescent="0.3">
      <c r="X506" s="4"/>
      <c r="Y506" s="3"/>
      <c r="Z506" s="5"/>
    </row>
    <row r="507" spans="24:26" ht="14.55" x14ac:dyDescent="0.3">
      <c r="X507" s="4"/>
      <c r="Y507" s="3"/>
      <c r="Z507" s="5"/>
    </row>
    <row r="508" spans="24:26" ht="14.55" x14ac:dyDescent="0.3">
      <c r="X508" s="4"/>
      <c r="Y508" s="3"/>
      <c r="Z508" s="5"/>
    </row>
    <row r="509" spans="24:26" ht="14.55" x14ac:dyDescent="0.3">
      <c r="X509" s="4"/>
      <c r="Y509" s="3"/>
      <c r="Z509" s="5"/>
    </row>
    <row r="510" spans="24:26" ht="14.55" x14ac:dyDescent="0.3">
      <c r="X510" s="4"/>
      <c r="Y510" s="3"/>
      <c r="Z510" s="5"/>
    </row>
    <row r="511" spans="24:26" ht="14.55" x14ac:dyDescent="0.3">
      <c r="X511" s="4"/>
      <c r="Y511" s="3"/>
      <c r="Z511" s="5"/>
    </row>
    <row r="512" spans="24:26" ht="14.55" x14ac:dyDescent="0.3">
      <c r="X512" s="4"/>
      <c r="Y512" s="3"/>
      <c r="Z512" s="5"/>
    </row>
    <row r="513" spans="24:26" ht="14.55" x14ac:dyDescent="0.3">
      <c r="X513" s="4"/>
      <c r="Y513" s="3"/>
      <c r="Z513" s="5"/>
    </row>
    <row r="514" spans="24:26" ht="14.55" x14ac:dyDescent="0.3">
      <c r="X514" s="4"/>
      <c r="Y514" s="3"/>
      <c r="Z514" s="5"/>
    </row>
    <row r="515" spans="24:26" ht="14.55" x14ac:dyDescent="0.3">
      <c r="X515" s="4"/>
      <c r="Y515" s="3"/>
      <c r="Z515" s="5"/>
    </row>
    <row r="516" spans="24:26" ht="14.55" x14ac:dyDescent="0.3">
      <c r="X516" s="4"/>
      <c r="Y516" s="3"/>
      <c r="Z516" s="5"/>
    </row>
    <row r="517" spans="24:26" ht="14.55" x14ac:dyDescent="0.3">
      <c r="X517" s="4"/>
      <c r="Y517" s="3"/>
      <c r="Z517" s="5"/>
    </row>
    <row r="518" spans="24:26" ht="14.55" x14ac:dyDescent="0.3">
      <c r="X518" s="4"/>
      <c r="Y518" s="3"/>
      <c r="Z518" s="5"/>
    </row>
    <row r="519" spans="24:26" ht="14.55" x14ac:dyDescent="0.3">
      <c r="X519" s="4"/>
      <c r="Y519" s="3"/>
      <c r="Z519" s="5"/>
    </row>
    <row r="520" spans="24:26" ht="14.55" x14ac:dyDescent="0.3">
      <c r="X520" s="4"/>
      <c r="Y520" s="3"/>
      <c r="Z520" s="5"/>
    </row>
    <row r="521" spans="24:26" ht="14.55" x14ac:dyDescent="0.3">
      <c r="X521" s="4"/>
      <c r="Y521" s="3"/>
      <c r="Z521" s="5"/>
    </row>
    <row r="522" spans="24:26" ht="14.55" x14ac:dyDescent="0.3">
      <c r="X522" s="4"/>
      <c r="Y522" s="3"/>
      <c r="Z522" s="5"/>
    </row>
    <row r="523" spans="24:26" ht="14.55" x14ac:dyDescent="0.3">
      <c r="X523" s="4"/>
      <c r="Y523" s="3"/>
      <c r="Z523" s="5"/>
    </row>
    <row r="524" spans="24:26" ht="14.55" x14ac:dyDescent="0.3">
      <c r="X524" s="4"/>
      <c r="Y524" s="3"/>
      <c r="Z524" s="5"/>
    </row>
    <row r="525" spans="24:26" ht="14.55" x14ac:dyDescent="0.3">
      <c r="X525" s="4"/>
      <c r="Y525" s="3"/>
      <c r="Z525" s="5"/>
    </row>
    <row r="526" spans="24:26" ht="14.55" x14ac:dyDescent="0.3">
      <c r="X526" s="4"/>
      <c r="Y526" s="3"/>
      <c r="Z526" s="5"/>
    </row>
    <row r="527" spans="24:26" ht="14.55" x14ac:dyDescent="0.3">
      <c r="X527" s="4"/>
      <c r="Y527" s="3"/>
      <c r="Z527" s="5"/>
    </row>
    <row r="528" spans="24:26" ht="14.55" x14ac:dyDescent="0.3">
      <c r="X528" s="4"/>
      <c r="Y528" s="3"/>
      <c r="Z528" s="5"/>
    </row>
    <row r="529" spans="24:26" ht="14.55" x14ac:dyDescent="0.3">
      <c r="X529" s="4"/>
      <c r="Y529" s="3"/>
      <c r="Z529" s="5"/>
    </row>
    <row r="530" spans="24:26" ht="14.55" x14ac:dyDescent="0.3">
      <c r="X530" s="4"/>
      <c r="Y530" s="3"/>
      <c r="Z530" s="5"/>
    </row>
    <row r="531" spans="24:26" ht="14.55" x14ac:dyDescent="0.3">
      <c r="X531" s="4"/>
      <c r="Y531" s="3"/>
      <c r="Z531" s="5"/>
    </row>
    <row r="532" spans="24:26" ht="14.55" x14ac:dyDescent="0.3">
      <c r="X532" s="4"/>
      <c r="Y532" s="3"/>
      <c r="Z532" s="5"/>
    </row>
    <row r="533" spans="24:26" ht="14.55" x14ac:dyDescent="0.3">
      <c r="X533" s="4"/>
      <c r="Y533" s="3"/>
      <c r="Z533" s="5"/>
    </row>
    <row r="534" spans="24:26" ht="14.55" x14ac:dyDescent="0.3">
      <c r="X534" s="4"/>
      <c r="Y534" s="3"/>
      <c r="Z534" s="5"/>
    </row>
    <row r="535" spans="24:26" ht="14.55" x14ac:dyDescent="0.3">
      <c r="X535" s="4"/>
      <c r="Y535" s="3"/>
      <c r="Z535" s="5"/>
    </row>
    <row r="536" spans="24:26" ht="14.55" x14ac:dyDescent="0.3">
      <c r="X536" s="4"/>
      <c r="Y536" s="3"/>
      <c r="Z536" s="5"/>
    </row>
    <row r="537" spans="24:26" ht="14.55" x14ac:dyDescent="0.3">
      <c r="X537" s="4"/>
      <c r="Y537" s="3"/>
      <c r="Z537" s="5"/>
    </row>
    <row r="538" spans="24:26" ht="14.55" x14ac:dyDescent="0.3">
      <c r="X538" s="4"/>
      <c r="Y538" s="3"/>
      <c r="Z538" s="5"/>
    </row>
    <row r="539" spans="24:26" ht="14.55" x14ac:dyDescent="0.3">
      <c r="X539" s="4"/>
      <c r="Y539" s="3"/>
      <c r="Z539" s="5"/>
    </row>
    <row r="540" spans="24:26" ht="14.55" x14ac:dyDescent="0.3">
      <c r="X540" s="4"/>
      <c r="Y540" s="3"/>
      <c r="Z540" s="5"/>
    </row>
    <row r="541" spans="24:26" ht="14.55" x14ac:dyDescent="0.3">
      <c r="X541" s="4"/>
      <c r="Y541" s="3"/>
      <c r="Z541" s="5"/>
    </row>
    <row r="542" spans="24:26" ht="14.55" x14ac:dyDescent="0.3">
      <c r="X542" s="4"/>
      <c r="Y542" s="3"/>
      <c r="Z542" s="5"/>
    </row>
    <row r="543" spans="24:26" ht="14.55" x14ac:dyDescent="0.3">
      <c r="X543" s="4"/>
      <c r="Y543" s="3"/>
      <c r="Z543" s="5"/>
    </row>
    <row r="544" spans="24:26" ht="14.55" x14ac:dyDescent="0.3">
      <c r="X544" s="4"/>
      <c r="Y544" s="3"/>
      <c r="Z544" s="5"/>
    </row>
    <row r="545" spans="24:26" ht="14.55" x14ac:dyDescent="0.3">
      <c r="X545" s="4"/>
      <c r="Y545" s="3"/>
      <c r="Z545" s="5"/>
    </row>
    <row r="546" spans="24:26" ht="14.55" x14ac:dyDescent="0.3">
      <c r="X546" s="4"/>
      <c r="Y546" s="3"/>
      <c r="Z546" s="5"/>
    </row>
    <row r="547" spans="24:26" ht="14.55" x14ac:dyDescent="0.3">
      <c r="X547" s="4"/>
      <c r="Y547" s="3"/>
      <c r="Z547" s="5"/>
    </row>
    <row r="548" spans="24:26" ht="14.55" x14ac:dyDescent="0.3">
      <c r="X548" s="4"/>
      <c r="Y548" s="3"/>
      <c r="Z548" s="5"/>
    </row>
    <row r="549" spans="24:26" ht="14.55" x14ac:dyDescent="0.3">
      <c r="X549" s="4"/>
      <c r="Y549" s="3"/>
      <c r="Z549" s="5"/>
    </row>
    <row r="550" spans="24:26" ht="14.55" x14ac:dyDescent="0.3">
      <c r="X550" s="4"/>
      <c r="Y550" s="3"/>
      <c r="Z550" s="5"/>
    </row>
    <row r="551" spans="24:26" ht="14.55" x14ac:dyDescent="0.3">
      <c r="X551" s="4"/>
      <c r="Y551" s="3"/>
      <c r="Z551" s="5"/>
    </row>
    <row r="552" spans="24:26" ht="14.55" x14ac:dyDescent="0.3">
      <c r="X552" s="4"/>
      <c r="Y552" s="3"/>
      <c r="Z552" s="5"/>
    </row>
    <row r="553" spans="24:26" ht="14.55" x14ac:dyDescent="0.3">
      <c r="X553" s="4"/>
      <c r="Y553" s="3"/>
      <c r="Z553" s="5"/>
    </row>
    <row r="554" spans="24:26" ht="14.55" x14ac:dyDescent="0.3">
      <c r="X554" s="4"/>
      <c r="Y554" s="3"/>
      <c r="Z554" s="5"/>
    </row>
    <row r="555" spans="24:26" ht="14.55" x14ac:dyDescent="0.3">
      <c r="X555" s="4"/>
      <c r="Y555" s="3"/>
      <c r="Z555" s="5"/>
    </row>
    <row r="556" spans="24:26" ht="14.55" x14ac:dyDescent="0.3">
      <c r="X556" s="4"/>
      <c r="Y556" s="3"/>
      <c r="Z556" s="5"/>
    </row>
    <row r="557" spans="24:26" ht="14.55" x14ac:dyDescent="0.3">
      <c r="X557" s="4"/>
      <c r="Y557" s="3"/>
      <c r="Z557" s="5"/>
    </row>
    <row r="558" spans="24:26" ht="14.55" x14ac:dyDescent="0.3">
      <c r="X558" s="4"/>
      <c r="Y558" s="3"/>
      <c r="Z558" s="5"/>
    </row>
    <row r="559" spans="24:26" ht="14.55" x14ac:dyDescent="0.3">
      <c r="X559" s="4"/>
      <c r="Y559" s="3"/>
      <c r="Z559" s="5"/>
    </row>
    <row r="560" spans="24:26" ht="14.55" x14ac:dyDescent="0.3">
      <c r="X560" s="4"/>
      <c r="Y560" s="3"/>
      <c r="Z560" s="5"/>
    </row>
    <row r="561" spans="24:26" ht="14.55" x14ac:dyDescent="0.3">
      <c r="X561" s="4"/>
      <c r="Y561" s="3"/>
      <c r="Z561" s="5"/>
    </row>
    <row r="562" spans="24:26" ht="14.55" x14ac:dyDescent="0.3">
      <c r="X562" s="4"/>
      <c r="Y562" s="3"/>
      <c r="Z562" s="5"/>
    </row>
    <row r="563" spans="24:26" ht="14.55" x14ac:dyDescent="0.3">
      <c r="X563" s="4"/>
      <c r="Y563" s="3"/>
      <c r="Z563" s="5"/>
    </row>
    <row r="564" spans="24:26" ht="14.55" x14ac:dyDescent="0.3">
      <c r="X564" s="4"/>
      <c r="Y564" s="3"/>
      <c r="Z564" s="5"/>
    </row>
    <row r="565" spans="24:26" ht="14.55" x14ac:dyDescent="0.3">
      <c r="X565" s="4"/>
      <c r="Y565" s="3"/>
      <c r="Z565" s="5"/>
    </row>
    <row r="566" spans="24:26" ht="14.55" x14ac:dyDescent="0.3">
      <c r="X566" s="4"/>
      <c r="Y566" s="3"/>
      <c r="Z566" s="5"/>
    </row>
    <row r="567" spans="24:26" ht="14.55" x14ac:dyDescent="0.3">
      <c r="X567" s="4"/>
      <c r="Y567" s="3"/>
      <c r="Z567" s="5"/>
    </row>
    <row r="568" spans="24:26" ht="14.55" x14ac:dyDescent="0.3">
      <c r="X568" s="4"/>
      <c r="Y568" s="3"/>
      <c r="Z568" s="5"/>
    </row>
    <row r="569" spans="24:26" ht="14.55" x14ac:dyDescent="0.3">
      <c r="X569" s="4"/>
      <c r="Y569" s="3"/>
      <c r="Z569" s="5"/>
    </row>
    <row r="570" spans="24:26" ht="14.55" x14ac:dyDescent="0.3">
      <c r="X570" s="4"/>
      <c r="Y570" s="3"/>
      <c r="Z570" s="5"/>
    </row>
    <row r="571" spans="24:26" ht="14.55" x14ac:dyDescent="0.3">
      <c r="X571" s="4"/>
      <c r="Y571" s="3"/>
      <c r="Z571" s="5"/>
    </row>
    <row r="572" spans="24:26" ht="14.55" x14ac:dyDescent="0.3">
      <c r="X572" s="4"/>
      <c r="Y572" s="3"/>
      <c r="Z572" s="5"/>
    </row>
    <row r="573" spans="24:26" ht="14.55" x14ac:dyDescent="0.3">
      <c r="X573" s="4"/>
      <c r="Y573" s="3"/>
      <c r="Z573" s="5"/>
    </row>
    <row r="574" spans="24:26" ht="14.55" x14ac:dyDescent="0.3">
      <c r="X574" s="4"/>
      <c r="Y574" s="3"/>
      <c r="Z574" s="5"/>
    </row>
    <row r="575" spans="24:26" ht="14.55" x14ac:dyDescent="0.3">
      <c r="X575" s="4"/>
      <c r="Y575" s="3"/>
      <c r="Z575" s="5"/>
    </row>
    <row r="576" spans="24:26" ht="14.55" x14ac:dyDescent="0.3">
      <c r="X576" s="4"/>
      <c r="Y576" s="3"/>
      <c r="Z576" s="5"/>
    </row>
    <row r="577" spans="24:26" ht="14.55" x14ac:dyDescent="0.3">
      <c r="X577" s="4"/>
      <c r="Y577" s="3"/>
      <c r="Z577" s="5"/>
    </row>
    <row r="578" spans="24:26" ht="14.55" x14ac:dyDescent="0.3">
      <c r="X578" s="4"/>
      <c r="Y578" s="3"/>
      <c r="Z578" s="5"/>
    </row>
    <row r="579" spans="24:26" ht="14.55" x14ac:dyDescent="0.3">
      <c r="X579" s="4"/>
      <c r="Y579" s="3"/>
      <c r="Z579" s="5"/>
    </row>
    <row r="580" spans="24:26" ht="14.55" x14ac:dyDescent="0.3">
      <c r="X580" s="4"/>
      <c r="Y580" s="3"/>
      <c r="Z580" s="5"/>
    </row>
    <row r="581" spans="24:26" ht="14.55" x14ac:dyDescent="0.3">
      <c r="X581" s="4"/>
      <c r="Y581" s="3"/>
      <c r="Z581" s="5"/>
    </row>
    <row r="582" spans="24:26" ht="14.55" x14ac:dyDescent="0.3">
      <c r="X582" s="4"/>
      <c r="Y582" s="3"/>
      <c r="Z582" s="5"/>
    </row>
    <row r="583" spans="24:26" ht="14.55" x14ac:dyDescent="0.3">
      <c r="X583" s="4"/>
      <c r="Y583" s="3"/>
      <c r="Z583" s="5"/>
    </row>
    <row r="584" spans="24:26" ht="14.55" x14ac:dyDescent="0.3">
      <c r="X584" s="4"/>
      <c r="Y584" s="3"/>
      <c r="Z584" s="5"/>
    </row>
    <row r="585" spans="24:26" ht="14.55" x14ac:dyDescent="0.3">
      <c r="X585" s="4"/>
      <c r="Y585" s="3"/>
      <c r="Z585" s="5"/>
    </row>
    <row r="586" spans="24:26" ht="14.55" x14ac:dyDescent="0.3">
      <c r="X586" s="4"/>
      <c r="Y586" s="3"/>
      <c r="Z586" s="5"/>
    </row>
    <row r="587" spans="24:26" ht="14.55" x14ac:dyDescent="0.3">
      <c r="X587" s="4"/>
      <c r="Y587" s="3"/>
      <c r="Z587" s="5"/>
    </row>
    <row r="588" spans="24:26" ht="14.55" x14ac:dyDescent="0.3">
      <c r="X588" s="4"/>
      <c r="Y588" s="3"/>
      <c r="Z588" s="5"/>
    </row>
    <row r="589" spans="24:26" ht="14.55" x14ac:dyDescent="0.3">
      <c r="X589" s="4"/>
      <c r="Y589" s="3"/>
      <c r="Z589" s="5"/>
    </row>
    <row r="590" spans="24:26" ht="14.55" x14ac:dyDescent="0.3">
      <c r="X590" s="4"/>
      <c r="Y590" s="3"/>
      <c r="Z590" s="5"/>
    </row>
    <row r="591" spans="24:26" ht="14.55" x14ac:dyDescent="0.3">
      <c r="X591" s="4"/>
      <c r="Y591" s="3"/>
      <c r="Z591" s="5"/>
    </row>
    <row r="592" spans="24:26" ht="14.55" x14ac:dyDescent="0.3">
      <c r="X592" s="4"/>
      <c r="Y592" s="3"/>
      <c r="Z592" s="5"/>
    </row>
    <row r="593" spans="24:26" ht="14.55" x14ac:dyDescent="0.3">
      <c r="X593" s="4"/>
      <c r="Y593" s="3"/>
      <c r="Z593" s="5"/>
    </row>
    <row r="594" spans="24:26" ht="14.55" x14ac:dyDescent="0.3">
      <c r="X594" s="4"/>
      <c r="Y594" s="3"/>
      <c r="Z594" s="5"/>
    </row>
  </sheetData>
  <sheetProtection selectLockedCells="1"/>
  <mergeCells count="182">
    <mergeCell ref="W71:X71"/>
    <mergeCell ref="B32:C32"/>
    <mergeCell ref="B33:C33"/>
    <mergeCell ref="B34:C34"/>
    <mergeCell ref="W1:X5"/>
    <mergeCell ref="W6:X6"/>
    <mergeCell ref="W7:X7"/>
    <mergeCell ref="B35:C35"/>
    <mergeCell ref="W8:X8"/>
    <mergeCell ref="W9:X9"/>
    <mergeCell ref="W10:X10"/>
    <mergeCell ref="W11:X11"/>
    <mergeCell ref="W12:X12"/>
    <mergeCell ref="N10:O10"/>
    <mergeCell ref="H10:I10"/>
    <mergeCell ref="K8:L8"/>
    <mergeCell ref="K9:L9"/>
    <mergeCell ref="H8:I8"/>
    <mergeCell ref="K10:L10"/>
    <mergeCell ref="H9:I9"/>
    <mergeCell ref="B12:C12"/>
    <mergeCell ref="B11:C11"/>
    <mergeCell ref="B10:C10"/>
    <mergeCell ref="E12:F12"/>
    <mergeCell ref="Q1:R5"/>
    <mergeCell ref="A239:B239"/>
    <mergeCell ref="N71:O71"/>
    <mergeCell ref="H71:I71"/>
    <mergeCell ref="K71:L71"/>
    <mergeCell ref="A141:B141"/>
    <mergeCell ref="A147:B147"/>
    <mergeCell ref="A156:B156"/>
    <mergeCell ref="A73:J73"/>
    <mergeCell ref="C148:K148"/>
    <mergeCell ref="C134:K134"/>
    <mergeCell ref="B109:K109"/>
    <mergeCell ref="B75:K75"/>
    <mergeCell ref="C142:K142"/>
    <mergeCell ref="B71:C71"/>
    <mergeCell ref="A164:B164"/>
    <mergeCell ref="Q10:R10"/>
    <mergeCell ref="Q71:R71"/>
    <mergeCell ref="Q6:R6"/>
    <mergeCell ref="Q7:R7"/>
    <mergeCell ref="Q8:R8"/>
    <mergeCell ref="Q9:R9"/>
    <mergeCell ref="Q11:R11"/>
    <mergeCell ref="B31:C31"/>
    <mergeCell ref="N1:O5"/>
    <mergeCell ref="N6:O6"/>
    <mergeCell ref="N7:O7"/>
    <mergeCell ref="N8:O8"/>
    <mergeCell ref="N9:O9"/>
    <mergeCell ref="K1:L5"/>
    <mergeCell ref="K6:L6"/>
    <mergeCell ref="B6:C6"/>
    <mergeCell ref="B7:C7"/>
    <mergeCell ref="E7:F7"/>
    <mergeCell ref="H1:I5"/>
    <mergeCell ref="H6:I6"/>
    <mergeCell ref="H7:I7"/>
    <mergeCell ref="E1:F5"/>
    <mergeCell ref="E6:F6"/>
    <mergeCell ref="B1:C5"/>
    <mergeCell ref="B9:C9"/>
    <mergeCell ref="B8:C8"/>
    <mergeCell ref="E8:F8"/>
    <mergeCell ref="E9:F9"/>
    <mergeCell ref="K7:L7"/>
    <mergeCell ref="E10:F10"/>
    <mergeCell ref="E11:F11"/>
    <mergeCell ref="H11:I11"/>
    <mergeCell ref="H12:I12"/>
    <mergeCell ref="E23:F23"/>
    <mergeCell ref="E24:F24"/>
    <mergeCell ref="E25:F25"/>
    <mergeCell ref="E26:F26"/>
    <mergeCell ref="E27:F27"/>
    <mergeCell ref="E22:F22"/>
    <mergeCell ref="B30:C30"/>
    <mergeCell ref="B23:C23"/>
    <mergeCell ref="B24:C24"/>
    <mergeCell ref="B25:C25"/>
    <mergeCell ref="B26:C26"/>
    <mergeCell ref="B16:C16"/>
    <mergeCell ref="B13:C13"/>
    <mergeCell ref="B14:C14"/>
    <mergeCell ref="B15:C15"/>
    <mergeCell ref="B20:C20"/>
    <mergeCell ref="B17:C17"/>
    <mergeCell ref="B18:C18"/>
    <mergeCell ref="B19:C19"/>
    <mergeCell ref="B21:C21"/>
    <mergeCell ref="B22:C22"/>
    <mergeCell ref="B27:C27"/>
    <mergeCell ref="B28:C28"/>
    <mergeCell ref="B29:C29"/>
    <mergeCell ref="N11:O11"/>
    <mergeCell ref="N12:O12"/>
    <mergeCell ref="N13:O13"/>
    <mergeCell ref="Q12:R12"/>
    <mergeCell ref="E13:F13"/>
    <mergeCell ref="E14:F14"/>
    <mergeCell ref="T20:U20"/>
    <mergeCell ref="T21:U21"/>
    <mergeCell ref="E15:F15"/>
    <mergeCell ref="E16:F16"/>
    <mergeCell ref="E17:F17"/>
    <mergeCell ref="E18:F18"/>
    <mergeCell ref="E19:F19"/>
    <mergeCell ref="E20:F20"/>
    <mergeCell ref="E21:F21"/>
    <mergeCell ref="H13:I13"/>
    <mergeCell ref="T22:U22"/>
    <mergeCell ref="T23:U23"/>
    <mergeCell ref="T24:U24"/>
    <mergeCell ref="T1:U5"/>
    <mergeCell ref="T6:U6"/>
    <mergeCell ref="T7:U7"/>
    <mergeCell ref="T8:U8"/>
    <mergeCell ref="T9:U9"/>
    <mergeCell ref="T10:U10"/>
    <mergeCell ref="T11:U11"/>
    <mergeCell ref="T12:U12"/>
    <mergeCell ref="T13:U13"/>
    <mergeCell ref="T14:U14"/>
    <mergeCell ref="T15:U15"/>
    <mergeCell ref="T16:U16"/>
    <mergeCell ref="T17:U17"/>
    <mergeCell ref="T18:U18"/>
    <mergeCell ref="T19:U19"/>
    <mergeCell ref="T30:U30"/>
    <mergeCell ref="T31:U31"/>
    <mergeCell ref="T32:U32"/>
    <mergeCell ref="T33:U33"/>
    <mergeCell ref="T34:U34"/>
    <mergeCell ref="T25:U25"/>
    <mergeCell ref="T26:U26"/>
    <mergeCell ref="T27:U27"/>
    <mergeCell ref="T28:U28"/>
    <mergeCell ref="T29:U29"/>
    <mergeCell ref="T40:U40"/>
    <mergeCell ref="T41:U41"/>
    <mergeCell ref="T42:U42"/>
    <mergeCell ref="T43:U43"/>
    <mergeCell ref="T44:U44"/>
    <mergeCell ref="T35:U35"/>
    <mergeCell ref="T36:U36"/>
    <mergeCell ref="T37:U37"/>
    <mergeCell ref="T38:U38"/>
    <mergeCell ref="T39:U39"/>
    <mergeCell ref="T50:U50"/>
    <mergeCell ref="T51:U51"/>
    <mergeCell ref="T52:U52"/>
    <mergeCell ref="T53:U53"/>
    <mergeCell ref="T54:U54"/>
    <mergeCell ref="T45:U45"/>
    <mergeCell ref="T46:U46"/>
    <mergeCell ref="T47:U47"/>
    <mergeCell ref="T48:U48"/>
    <mergeCell ref="T49:U49"/>
    <mergeCell ref="T60:U60"/>
    <mergeCell ref="T61:U61"/>
    <mergeCell ref="T62:U62"/>
    <mergeCell ref="T63:U63"/>
    <mergeCell ref="T64:U64"/>
    <mergeCell ref="C157:K157"/>
    <mergeCell ref="E71:F71"/>
    <mergeCell ref="T55:U55"/>
    <mergeCell ref="T56:U56"/>
    <mergeCell ref="T57:U57"/>
    <mergeCell ref="T58:U58"/>
    <mergeCell ref="T59:U59"/>
    <mergeCell ref="C230:K230"/>
    <mergeCell ref="T71:U71"/>
    <mergeCell ref="C165:K165"/>
    <mergeCell ref="A229:B229"/>
    <mergeCell ref="T65:U65"/>
    <mergeCell ref="T66:U66"/>
    <mergeCell ref="T67:U67"/>
    <mergeCell ref="T68:U68"/>
    <mergeCell ref="T69:U69"/>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C98A-FA72-4192-B559-ACBC65EBBBF3}">
  <sheetPr>
    <tabColor rgb="FF7030A0"/>
  </sheetPr>
  <dimension ref="A1:Z299"/>
  <sheetViews>
    <sheetView workbookViewId="0"/>
  </sheetViews>
  <sheetFormatPr baseColWidth="10" defaultColWidth="11.44140625" defaultRowHeight="13.9" x14ac:dyDescent="0.25"/>
  <cols>
    <col min="1" max="1" width="10.33203125" style="1" customWidth="1"/>
    <col min="2" max="2" width="6.88671875" style="1" bestFit="1" customWidth="1"/>
    <col min="3" max="3" width="19.88671875" style="1" customWidth="1"/>
    <col min="4" max="5" width="15.6640625" style="1" customWidth="1"/>
    <col min="6" max="6" width="11.44140625" style="1" customWidth="1"/>
    <col min="7" max="7" width="17" style="1" customWidth="1"/>
    <col min="8" max="8" width="15.6640625" style="1" customWidth="1"/>
    <col min="9" max="9" width="11.44140625" style="1" customWidth="1"/>
    <col min="10" max="11" width="15.6640625" style="1" customWidth="1"/>
    <col min="12" max="12" width="10.5546875" style="1" bestFit="1" customWidth="1"/>
    <col min="13" max="14" width="15.6640625" style="1" customWidth="1"/>
    <col min="15" max="15" width="10.5546875" style="1" bestFit="1" customWidth="1"/>
    <col min="16" max="16" width="10.5546875" style="1" customWidth="1"/>
    <col min="17" max="17" width="12.109375" style="1" customWidth="1"/>
    <col min="18" max="19" width="10.5546875" style="1" customWidth="1"/>
    <col min="20" max="21" width="15.6640625" style="1" customWidth="1"/>
    <col min="22" max="23" width="11.44140625" style="1"/>
    <col min="24" max="24" width="49" style="1" bestFit="1" customWidth="1"/>
    <col min="25" max="25" width="27.44140625" style="1" bestFit="1" customWidth="1"/>
    <col min="26" max="26" width="98.88671875" style="1" customWidth="1"/>
    <col min="27" max="16384" width="11.44140625" style="1"/>
  </cols>
  <sheetData>
    <row r="1" spans="2:26" ht="15" customHeight="1" x14ac:dyDescent="0.25">
      <c r="B1" s="1685" t="s">
        <v>645</v>
      </c>
      <c r="C1" s="1686"/>
      <c r="E1" s="1689"/>
      <c r="F1" s="1689"/>
      <c r="H1" s="1689"/>
      <c r="I1" s="1689"/>
      <c r="K1" s="1689"/>
      <c r="L1" s="1689"/>
      <c r="N1" s="1689"/>
      <c r="O1" s="1689"/>
      <c r="P1" s="300"/>
      <c r="Q1" s="1689"/>
      <c r="R1" s="1689"/>
      <c r="S1" s="300"/>
    </row>
    <row r="2" spans="2:26" ht="15" customHeight="1" x14ac:dyDescent="0.25">
      <c r="B2" s="1687"/>
      <c r="C2" s="1688"/>
      <c r="E2" s="1689"/>
      <c r="F2" s="1689"/>
      <c r="H2" s="1689"/>
      <c r="I2" s="1689"/>
      <c r="K2" s="1689"/>
      <c r="L2" s="1689"/>
      <c r="N2" s="1689"/>
      <c r="O2" s="1689"/>
      <c r="P2" s="300"/>
      <c r="Q2" s="1689"/>
      <c r="R2" s="1689"/>
      <c r="S2" s="300"/>
    </row>
    <row r="3" spans="2:26" ht="15" customHeight="1" x14ac:dyDescent="0.25">
      <c r="B3" s="1687"/>
      <c r="C3" s="1688"/>
      <c r="E3" s="1689"/>
      <c r="F3" s="1689"/>
      <c r="H3" s="1689"/>
      <c r="I3" s="1689"/>
      <c r="K3" s="1689"/>
      <c r="L3" s="1689"/>
      <c r="M3" s="70"/>
      <c r="N3" s="1689"/>
      <c r="O3" s="1689"/>
      <c r="P3" s="300"/>
      <c r="Q3" s="1689"/>
      <c r="R3" s="1689"/>
      <c r="S3" s="300"/>
    </row>
    <row r="4" spans="2:26" ht="15" customHeight="1" x14ac:dyDescent="0.25">
      <c r="B4" s="1687"/>
      <c r="C4" s="1688"/>
      <c r="E4" s="1689"/>
      <c r="F4" s="1689"/>
      <c r="H4" s="1689"/>
      <c r="I4" s="1689"/>
      <c r="K4" s="1689"/>
      <c r="L4" s="1689"/>
      <c r="M4" s="70"/>
      <c r="N4" s="1689"/>
      <c r="O4" s="1689"/>
      <c r="P4" s="300"/>
      <c r="Q4" s="1689"/>
      <c r="R4" s="1689"/>
      <c r="S4" s="300"/>
    </row>
    <row r="5" spans="2:26" ht="15.95" customHeight="1" x14ac:dyDescent="0.25">
      <c r="B5" s="1687"/>
      <c r="C5" s="1688"/>
      <c r="E5" s="1689"/>
      <c r="F5" s="1689"/>
      <c r="H5" s="1689"/>
      <c r="I5" s="1689"/>
      <c r="K5" s="1689"/>
      <c r="L5" s="1689"/>
      <c r="M5" s="48"/>
      <c r="N5" s="1689"/>
      <c r="O5" s="1689"/>
      <c r="P5" s="300"/>
      <c r="Q5" s="1689"/>
      <c r="R5" s="1689"/>
      <c r="S5" s="300"/>
      <c r="X5" s="2"/>
      <c r="Y5" s="2"/>
      <c r="Z5" s="2"/>
    </row>
    <row r="6" spans="2:26" ht="14.55" x14ac:dyDescent="0.3">
      <c r="B6" s="1675" t="s">
        <v>366</v>
      </c>
      <c r="C6" s="1676"/>
      <c r="E6" s="1684"/>
      <c r="F6" s="1684"/>
      <c r="H6" s="1684"/>
      <c r="I6" s="1684"/>
      <c r="K6" s="1684"/>
      <c r="L6" s="1684"/>
      <c r="M6" s="48"/>
      <c r="N6" s="1684"/>
      <c r="O6" s="1684"/>
      <c r="P6" s="48"/>
      <c r="Q6" s="1684"/>
      <c r="R6" s="1684"/>
      <c r="S6" s="48"/>
      <c r="X6"/>
      <c r="Y6"/>
      <c r="Z6"/>
    </row>
    <row r="7" spans="2:26" ht="14.55" x14ac:dyDescent="0.3">
      <c r="B7" s="1658" t="e">
        <f>IF(#REF!="ja",#REF!,0)</f>
        <v>#REF!</v>
      </c>
      <c r="C7" s="1659"/>
      <c r="E7" s="1690"/>
      <c r="F7" s="1690"/>
      <c r="H7" s="1664"/>
      <c r="I7" s="1664"/>
      <c r="J7" s="170"/>
      <c r="K7" s="1664"/>
      <c r="L7" s="1664"/>
      <c r="M7" s="171"/>
      <c r="N7" s="1664"/>
      <c r="O7" s="1664"/>
      <c r="P7" s="171"/>
      <c r="Q7" s="1664"/>
      <c r="R7" s="1664"/>
      <c r="S7" s="171"/>
      <c r="X7" s="4"/>
      <c r="Y7" s="3"/>
      <c r="Z7" s="5"/>
    </row>
    <row r="8" spans="2:26" ht="14.55" x14ac:dyDescent="0.3">
      <c r="B8" s="1658" t="e">
        <f>IF(#REF!="ja",#REF!,0)</f>
        <v>#REF!</v>
      </c>
      <c r="C8" s="1659"/>
      <c r="E8" s="1690"/>
      <c r="F8" s="1690"/>
      <c r="H8" s="1664"/>
      <c r="I8" s="1664"/>
      <c r="J8" s="170"/>
      <c r="K8" s="1664"/>
      <c r="L8" s="1664"/>
      <c r="M8" s="171"/>
      <c r="N8" s="1664"/>
      <c r="O8" s="1664"/>
      <c r="P8" s="171"/>
      <c r="Q8" s="1664"/>
      <c r="R8" s="1664"/>
      <c r="S8" s="171"/>
      <c r="X8" s="4"/>
      <c r="Y8" s="3"/>
      <c r="Z8" s="5"/>
    </row>
    <row r="9" spans="2:26" ht="14.55" x14ac:dyDescent="0.3">
      <c r="B9" s="1658" t="e">
        <f>IF(#REF!="ja",#REF!,0)</f>
        <v>#REF!</v>
      </c>
      <c r="C9" s="1659"/>
      <c r="E9" s="1690"/>
      <c r="F9" s="1690"/>
      <c r="H9" s="1664"/>
      <c r="I9" s="1664"/>
      <c r="J9" s="170"/>
      <c r="K9" s="1664"/>
      <c r="L9" s="1664"/>
      <c r="M9" s="171"/>
      <c r="N9" s="1664"/>
      <c r="O9" s="1664"/>
      <c r="P9" s="171"/>
      <c r="Q9" s="1664"/>
      <c r="R9" s="1664"/>
      <c r="S9" s="171"/>
      <c r="X9" s="4"/>
      <c r="Y9" s="3"/>
      <c r="Z9" s="5"/>
    </row>
    <row r="10" spans="2:26" ht="14.55" x14ac:dyDescent="0.3">
      <c r="B10" s="1658" t="e">
        <f>IF(#REF!="ja",#REF!,0)</f>
        <v>#REF!</v>
      </c>
      <c r="C10" s="1659"/>
      <c r="E10" s="1690"/>
      <c r="F10" s="1690"/>
      <c r="H10" s="1664"/>
      <c r="I10" s="1664"/>
      <c r="J10" s="170"/>
      <c r="K10" s="1664"/>
      <c r="L10" s="1664"/>
      <c r="M10" s="171"/>
      <c r="N10" s="1664"/>
      <c r="O10" s="1664"/>
      <c r="P10" s="171"/>
      <c r="Q10" s="1664"/>
      <c r="R10" s="1664"/>
      <c r="S10" s="171"/>
      <c r="X10" s="4"/>
      <c r="Y10" s="3"/>
      <c r="Z10" s="5"/>
    </row>
    <row r="11" spans="2:26" ht="14.55" x14ac:dyDescent="0.3">
      <c r="B11" s="1658" t="e">
        <f>IF(#REF!="ja",#REF!,0)</f>
        <v>#REF!</v>
      </c>
      <c r="C11" s="1659"/>
      <c r="E11" s="1690"/>
      <c r="F11" s="1690"/>
      <c r="L11" s="48"/>
      <c r="M11" s="48"/>
      <c r="X11" s="4"/>
      <c r="Y11" s="3"/>
      <c r="Z11" s="5"/>
    </row>
    <row r="12" spans="2:26" ht="14.55" x14ac:dyDescent="0.3">
      <c r="B12" s="1658" t="e">
        <f>IF(#REF!="ja",#REF!,0)</f>
        <v>#REF!</v>
      </c>
      <c r="C12" s="1659"/>
      <c r="E12" s="1690"/>
      <c r="F12" s="1690"/>
      <c r="L12" s="48"/>
      <c r="M12" s="48"/>
      <c r="X12" s="4"/>
      <c r="Y12" s="3"/>
      <c r="Z12" s="5"/>
    </row>
    <row r="13" spans="2:26" ht="14.55" x14ac:dyDescent="0.3">
      <c r="B13" s="1658" t="e">
        <f>IF(#REF!="ja",#REF!,0)</f>
        <v>#REF!</v>
      </c>
      <c r="C13" s="1659"/>
      <c r="E13" s="1690"/>
      <c r="F13" s="1690"/>
      <c r="L13" s="48"/>
      <c r="M13" s="48"/>
      <c r="X13" s="4"/>
      <c r="Y13" s="3"/>
      <c r="Z13" s="5"/>
    </row>
    <row r="14" spans="2:26" ht="14.55" x14ac:dyDescent="0.3">
      <c r="B14" s="1658" t="e">
        <f>IF(#REF!="ja",#REF!,0)</f>
        <v>#REF!</v>
      </c>
      <c r="C14" s="1659"/>
      <c r="E14" s="1690"/>
      <c r="F14" s="1690"/>
      <c r="L14" s="48"/>
      <c r="M14" s="48"/>
      <c r="X14" s="4"/>
      <c r="Y14" s="3"/>
      <c r="Z14" s="5"/>
    </row>
    <row r="15" spans="2:26" ht="14.55" x14ac:dyDescent="0.3">
      <c r="B15" s="1658" t="e">
        <f>IF(#REF!="ja",#REF!,0)</f>
        <v>#REF!</v>
      </c>
      <c r="C15" s="1659"/>
      <c r="E15" s="1690"/>
      <c r="F15" s="1690"/>
      <c r="L15" s="48"/>
      <c r="M15" s="48"/>
      <c r="X15" s="4"/>
      <c r="Y15" s="3"/>
      <c r="Z15" s="5"/>
    </row>
    <row r="16" spans="2:26" ht="14.55" x14ac:dyDescent="0.3">
      <c r="B16" s="1658" t="e">
        <f>IF(#REF!="ja",#REF!,0)</f>
        <v>#REF!</v>
      </c>
      <c r="C16" s="1659"/>
      <c r="E16" s="1690"/>
      <c r="F16" s="1690"/>
      <c r="L16" s="48"/>
      <c r="M16" s="48"/>
      <c r="X16" s="4"/>
      <c r="Y16" s="3"/>
      <c r="Z16" s="5"/>
    </row>
    <row r="17" spans="2:26" ht="14.55" x14ac:dyDescent="0.3">
      <c r="B17" s="1658" t="e">
        <f>IF(#REF!="ja",#REF!,0)</f>
        <v>#REF!</v>
      </c>
      <c r="C17" s="1659"/>
      <c r="E17" s="1690"/>
      <c r="F17" s="1690"/>
      <c r="L17" s="48"/>
      <c r="M17" s="48"/>
      <c r="X17" s="4"/>
      <c r="Y17" s="3"/>
      <c r="Z17" s="5"/>
    </row>
    <row r="18" spans="2:26" ht="14.55" x14ac:dyDescent="0.3">
      <c r="B18" s="1658" t="e">
        <f>IF(#REF!="ja",#REF!,0)</f>
        <v>#REF!</v>
      </c>
      <c r="C18" s="1659"/>
      <c r="E18" s="1690"/>
      <c r="F18" s="1690"/>
      <c r="L18" s="48"/>
      <c r="M18" s="48"/>
      <c r="X18" s="4"/>
      <c r="Y18" s="3"/>
      <c r="Z18" s="5"/>
    </row>
    <row r="19" spans="2:26" ht="14.55" x14ac:dyDescent="0.3">
      <c r="B19" s="1658" t="e">
        <f>IF(#REF!="ja",#REF!,0)</f>
        <v>#REF!</v>
      </c>
      <c r="C19" s="1659"/>
      <c r="D19" s="145"/>
      <c r="E19" s="1690"/>
      <c r="F19" s="1690"/>
      <c r="G19" s="144"/>
      <c r="H19" s="49"/>
      <c r="I19" s="49"/>
      <c r="J19" s="49"/>
      <c r="K19" s="49"/>
      <c r="L19" s="49"/>
      <c r="M19" s="49"/>
      <c r="X19" s="4"/>
      <c r="Y19" s="3"/>
      <c r="Z19" s="5"/>
    </row>
    <row r="20" spans="2:26" ht="14.55" x14ac:dyDescent="0.3">
      <c r="B20" s="1658" t="e">
        <f>IF(#REF!="ja",#REF!,0)</f>
        <v>#REF!</v>
      </c>
      <c r="C20" s="1659"/>
      <c r="D20" s="145"/>
      <c r="E20" s="1690"/>
      <c r="F20" s="1690"/>
      <c r="G20" s="144"/>
      <c r="H20" s="49"/>
      <c r="I20" s="49"/>
      <c r="J20" s="49"/>
      <c r="K20" s="49"/>
      <c r="L20" s="49"/>
      <c r="M20" s="49"/>
      <c r="X20" s="4"/>
      <c r="Y20" s="3"/>
      <c r="Z20" s="5"/>
    </row>
    <row r="21" spans="2:26" ht="14.55" x14ac:dyDescent="0.3">
      <c r="B21" s="1658" t="e">
        <f>IF(#REF!="ja",#REF!,0)</f>
        <v>#REF!</v>
      </c>
      <c r="C21" s="1659"/>
      <c r="D21" s="145"/>
      <c r="E21" s="1690"/>
      <c r="F21" s="1690"/>
      <c r="G21" s="144"/>
      <c r="H21" s="49"/>
      <c r="I21" s="49"/>
      <c r="J21" s="49"/>
      <c r="K21" s="49"/>
      <c r="L21" s="49"/>
      <c r="M21" s="49"/>
      <c r="X21" s="4"/>
      <c r="Y21" s="3"/>
      <c r="Z21" s="5"/>
    </row>
    <row r="22" spans="2:26" ht="14.55" x14ac:dyDescent="0.3">
      <c r="B22" s="1658" t="e">
        <f>IF(#REF!="ja",#REF!,0)</f>
        <v>#REF!</v>
      </c>
      <c r="C22" s="1659"/>
      <c r="E22" s="1690"/>
      <c r="F22" s="1690"/>
      <c r="K22" s="48"/>
      <c r="X22" s="4"/>
      <c r="Y22" s="3"/>
      <c r="Z22" s="5"/>
    </row>
    <row r="23" spans="2:26" ht="14.55" x14ac:dyDescent="0.3">
      <c r="B23" s="1658" t="e">
        <f>IF(#REF!="ja",#REF!,0)</f>
        <v>#REF!</v>
      </c>
      <c r="C23" s="1659"/>
      <c r="E23" s="48"/>
      <c r="F23" s="48"/>
      <c r="K23" s="48"/>
      <c r="X23" s="4"/>
      <c r="Y23" s="3"/>
      <c r="Z23" s="5"/>
    </row>
    <row r="24" spans="2:26" ht="14.55" x14ac:dyDescent="0.3">
      <c r="B24" s="1665" t="e">
        <f>IF(#REF!="ja",#REF!,0)</f>
        <v>#REF!</v>
      </c>
      <c r="C24" s="1666"/>
      <c r="E24" s="48"/>
      <c r="F24" s="166"/>
      <c r="K24" s="48"/>
      <c r="X24" s="4"/>
      <c r="Y24" s="3"/>
      <c r="Z24" s="5"/>
    </row>
    <row r="25" spans="2:26" ht="14.55" x14ac:dyDescent="0.3">
      <c r="B25" s="1665" t="e">
        <f>IF(#REF!="ja",#REF!,0)</f>
        <v>#REF!</v>
      </c>
      <c r="C25" s="1666"/>
      <c r="E25" s="48"/>
      <c r="F25" s="166"/>
      <c r="K25" s="48"/>
      <c r="X25" s="4"/>
      <c r="Y25" s="3"/>
      <c r="Z25" s="5"/>
    </row>
    <row r="26" spans="2:26" ht="14.55" x14ac:dyDescent="0.3">
      <c r="B26" s="1665" t="e">
        <f>IF(#REF!="ja",#REF!,0)</f>
        <v>#REF!</v>
      </c>
      <c r="C26" s="1666"/>
      <c r="E26" s="48"/>
      <c r="F26" s="166"/>
      <c r="K26" s="48"/>
      <c r="X26" s="4"/>
      <c r="Y26" s="3"/>
      <c r="Z26" s="5"/>
    </row>
    <row r="27" spans="2:26" ht="14.55" x14ac:dyDescent="0.3">
      <c r="B27" s="1665" t="e">
        <f>IF(#REF!="ja",#REF!,0)</f>
        <v>#REF!</v>
      </c>
      <c r="C27" s="1666"/>
      <c r="E27" s="48"/>
      <c r="F27" s="166"/>
      <c r="K27" s="48"/>
      <c r="X27" s="4"/>
      <c r="Y27" s="3"/>
      <c r="Z27" s="5"/>
    </row>
    <row r="28" spans="2:26" ht="14.55" x14ac:dyDescent="0.3">
      <c r="B28" s="1665" t="e">
        <f>IF(#REF!="ja",#REF!,0)</f>
        <v>#REF!</v>
      </c>
      <c r="C28" s="1666"/>
      <c r="E28" s="48"/>
      <c r="F28" s="166"/>
      <c r="K28" s="48"/>
      <c r="X28" s="4"/>
      <c r="Y28" s="3"/>
      <c r="Z28" s="5"/>
    </row>
    <row r="29" spans="2:26" ht="14.55" x14ac:dyDescent="0.3">
      <c r="B29" s="1665" t="e">
        <f>IF(#REF!="ja",#REF!,0)</f>
        <v>#REF!</v>
      </c>
      <c r="C29" s="1666"/>
      <c r="E29" s="48"/>
      <c r="F29" s="166"/>
      <c r="K29" s="48"/>
      <c r="X29" s="4"/>
      <c r="Y29" s="3"/>
      <c r="Z29" s="5"/>
    </row>
    <row r="30" spans="2:26" ht="14.55" x14ac:dyDescent="0.3">
      <c r="B30" s="1665" t="e">
        <f>IF(#REF!="ja",#REF!,0)</f>
        <v>#REF!</v>
      </c>
      <c r="C30" s="1666"/>
      <c r="E30" s="48"/>
      <c r="F30" s="166"/>
      <c r="K30" s="48"/>
      <c r="X30" s="4"/>
      <c r="Y30" s="3"/>
      <c r="Z30" s="5"/>
    </row>
    <row r="31" spans="2:26" ht="14.55" x14ac:dyDescent="0.3">
      <c r="B31" s="1665" t="e">
        <f>IF(#REF!="ja",#REF!,0)</f>
        <v>#REF!</v>
      </c>
      <c r="C31" s="1666"/>
      <c r="E31" s="48"/>
      <c r="F31" s="166"/>
      <c r="K31" s="48"/>
      <c r="X31" s="4"/>
      <c r="Y31" s="3"/>
      <c r="Z31" s="5"/>
    </row>
    <row r="32" spans="2:26" ht="14.55" x14ac:dyDescent="0.3">
      <c r="B32" s="1665" t="e">
        <f>IF(#REF!="ja",#REF!,0)</f>
        <v>#REF!</v>
      </c>
      <c r="C32" s="1666"/>
      <c r="E32" s="48"/>
      <c r="F32" s="166"/>
      <c r="K32" s="48"/>
      <c r="X32" s="4"/>
      <c r="Y32" s="3"/>
      <c r="Z32" s="5"/>
    </row>
    <row r="33" spans="2:26" ht="14.55" x14ac:dyDescent="0.3">
      <c r="B33" s="1665" t="e">
        <f>IF(#REF!="ja",#REF!,0)</f>
        <v>#REF!</v>
      </c>
      <c r="C33" s="1666"/>
      <c r="E33" s="48"/>
      <c r="F33" s="166"/>
      <c r="K33" s="48"/>
      <c r="X33" s="4"/>
      <c r="Y33" s="3"/>
      <c r="Z33" s="5"/>
    </row>
    <row r="34" spans="2:26" ht="14.55" x14ac:dyDescent="0.3">
      <c r="B34" s="1665" t="e">
        <f>IF(#REF!="ja",#REF!,0)</f>
        <v>#REF!</v>
      </c>
      <c r="C34" s="1666"/>
      <c r="E34" s="48"/>
      <c r="F34" s="166"/>
      <c r="K34" s="48"/>
      <c r="X34" s="4"/>
      <c r="Y34" s="3"/>
      <c r="Z34" s="5"/>
    </row>
    <row r="35" spans="2:26" ht="14.55" x14ac:dyDescent="0.3">
      <c r="B35" s="1665" t="e">
        <f>IF(#REF!="ja",#REF!,0)</f>
        <v>#REF!</v>
      </c>
      <c r="C35" s="1666"/>
      <c r="E35" s="48"/>
      <c r="F35" s="166"/>
      <c r="K35" s="48"/>
      <c r="X35" s="4"/>
      <c r="Y35" s="3"/>
      <c r="Z35" s="5"/>
    </row>
    <row r="36" spans="2:26" ht="14.55" x14ac:dyDescent="0.3">
      <c r="B36" s="1665" t="e">
        <f>IF(#REF!="ja",#REF!,0)</f>
        <v>#REF!</v>
      </c>
      <c r="C36" s="1666"/>
      <c r="E36" s="48"/>
      <c r="F36" s="166"/>
      <c r="K36" s="48"/>
      <c r="X36" s="4"/>
      <c r="Y36" s="3"/>
      <c r="Z36" s="5"/>
    </row>
    <row r="37" spans="2:26" ht="14.55" x14ac:dyDescent="0.3">
      <c r="B37" s="1665" t="e">
        <f>IF(#REF!="ja",#REF!,0)</f>
        <v>#REF!</v>
      </c>
      <c r="C37" s="1666"/>
      <c r="E37" s="48"/>
      <c r="F37" s="166"/>
      <c r="K37" s="48"/>
      <c r="X37" s="4"/>
      <c r="Y37" s="3"/>
      <c r="Z37" s="5"/>
    </row>
    <row r="38" spans="2:26" ht="14.55" x14ac:dyDescent="0.3">
      <c r="B38" s="1665" t="e">
        <f>IF(#REF!="ja",#REF!,0)</f>
        <v>#REF!</v>
      </c>
      <c r="C38" s="1666"/>
      <c r="E38" s="48"/>
      <c r="F38" s="166"/>
      <c r="K38" s="48"/>
      <c r="X38" s="4"/>
      <c r="Y38" s="3"/>
      <c r="Z38" s="5"/>
    </row>
    <row r="39" spans="2:26" ht="14.55" x14ac:dyDescent="0.3">
      <c r="B39" s="1665" t="e">
        <f>IF(#REF!="ja",#REF!,0)</f>
        <v>#REF!</v>
      </c>
      <c r="C39" s="1666"/>
      <c r="E39" s="48"/>
      <c r="F39" s="166"/>
      <c r="K39" s="48"/>
      <c r="X39" s="4"/>
      <c r="Y39" s="3"/>
      <c r="Z39" s="5"/>
    </row>
    <row r="40" spans="2:26" ht="14.55" x14ac:dyDescent="0.3">
      <c r="B40" s="1665" t="e">
        <f>IF(#REF!="ja",#REF!,0)</f>
        <v>#REF!</v>
      </c>
      <c r="C40" s="1666"/>
      <c r="E40" s="48"/>
      <c r="F40" s="166"/>
      <c r="K40" s="48"/>
      <c r="X40" s="4"/>
      <c r="Y40" s="3"/>
      <c r="Z40" s="5"/>
    </row>
    <row r="41" spans="2:26" ht="14.55" x14ac:dyDescent="0.3">
      <c r="B41" s="1665" t="e">
        <f>IF(#REF!="ja",#REF!,0)</f>
        <v>#REF!</v>
      </c>
      <c r="C41" s="1666"/>
      <c r="E41" s="48"/>
      <c r="F41" s="166"/>
      <c r="K41" s="48"/>
      <c r="X41" s="4"/>
      <c r="Y41" s="3"/>
      <c r="Z41" s="5"/>
    </row>
    <row r="42" spans="2:26" ht="14.55" x14ac:dyDescent="0.3">
      <c r="B42" s="1665" t="e">
        <f>IF(#REF!="ja",#REF!,0)</f>
        <v>#REF!</v>
      </c>
      <c r="C42" s="1666"/>
      <c r="E42" s="48"/>
      <c r="F42" s="166"/>
      <c r="K42" s="48"/>
      <c r="X42" s="4"/>
      <c r="Y42" s="3"/>
      <c r="Z42" s="5"/>
    </row>
    <row r="43" spans="2:26" ht="14.55" x14ac:dyDescent="0.3">
      <c r="B43" s="1665" t="e">
        <f>IF(#REF!="ja",#REF!,0)</f>
        <v>#REF!</v>
      </c>
      <c r="C43" s="1666"/>
      <c r="E43" s="48"/>
      <c r="F43" s="166"/>
      <c r="K43" s="48"/>
      <c r="X43" s="4"/>
      <c r="Y43" s="3"/>
      <c r="Z43" s="5"/>
    </row>
    <row r="44" spans="2:26" ht="14.55" x14ac:dyDescent="0.3">
      <c r="B44" s="1665" t="e">
        <f>IF(#REF!="ja",#REF!,0)</f>
        <v>#REF!</v>
      </c>
      <c r="C44" s="1666"/>
      <c r="E44" s="48"/>
      <c r="F44" s="166"/>
      <c r="K44" s="48"/>
      <c r="X44" s="4"/>
      <c r="Y44" s="3"/>
      <c r="Z44" s="5"/>
    </row>
    <row r="45" spans="2:26" ht="14.55" x14ac:dyDescent="0.3">
      <c r="B45" s="1665" t="e">
        <f>IF(#REF!="ja",#REF!,0)</f>
        <v>#REF!</v>
      </c>
      <c r="C45" s="1666"/>
      <c r="E45" s="48"/>
      <c r="F45" s="166"/>
      <c r="K45" s="48"/>
      <c r="X45" s="4"/>
      <c r="Y45" s="3"/>
      <c r="Z45" s="5"/>
    </row>
    <row r="46" spans="2:26" ht="14.55" x14ac:dyDescent="0.3">
      <c r="B46" s="1665" t="e">
        <f>IF(#REF!="ja",#REF!,0)</f>
        <v>#REF!</v>
      </c>
      <c r="C46" s="1666"/>
      <c r="E46" s="48"/>
      <c r="F46" s="166"/>
      <c r="K46" s="48"/>
      <c r="X46" s="4"/>
      <c r="Y46" s="3"/>
      <c r="Z46" s="5"/>
    </row>
    <row r="47" spans="2:26" ht="14.55" x14ac:dyDescent="0.3">
      <c r="B47" s="1665" t="e">
        <f>IF(#REF!="ja",#REF!,0)</f>
        <v>#REF!</v>
      </c>
      <c r="C47" s="1666"/>
      <c r="E47" s="48"/>
      <c r="F47" s="166"/>
      <c r="K47" s="48"/>
      <c r="X47" s="4"/>
      <c r="Y47" s="3"/>
      <c r="Z47" s="5"/>
    </row>
    <row r="48" spans="2:26" ht="14.55" x14ac:dyDescent="0.3">
      <c r="B48" s="1665" t="e">
        <f>IF(#REF!="ja",#REF!,0)</f>
        <v>#REF!</v>
      </c>
      <c r="C48" s="1666"/>
      <c r="E48" s="48"/>
      <c r="F48" s="166"/>
      <c r="K48" s="48"/>
      <c r="X48" s="4"/>
      <c r="Y48" s="3"/>
      <c r="Z48" s="5"/>
    </row>
    <row r="49" spans="2:26" ht="14.55" x14ac:dyDescent="0.3">
      <c r="B49" s="1665" t="e">
        <f>IF(#REF!="ja",#REF!,0)</f>
        <v>#REF!</v>
      </c>
      <c r="C49" s="1666"/>
      <c r="E49" s="48"/>
      <c r="F49" s="166"/>
      <c r="K49" s="48"/>
      <c r="X49" s="4"/>
      <c r="Y49" s="3"/>
      <c r="Z49" s="5"/>
    </row>
    <row r="50" spans="2:26" ht="14.55" x14ac:dyDescent="0.3">
      <c r="B50" s="1665" t="e">
        <f>IF(#REF!="ja",#REF!,0)</f>
        <v>#REF!</v>
      </c>
      <c r="C50" s="1666"/>
      <c r="E50" s="48"/>
      <c r="F50" s="166"/>
      <c r="K50" s="48"/>
      <c r="X50" s="4"/>
      <c r="Y50" s="3"/>
      <c r="Z50" s="5"/>
    </row>
    <row r="51" spans="2:26" ht="14.55" x14ac:dyDescent="0.3">
      <c r="B51" s="1665" t="e">
        <f>IF(#REF!="ja",#REF!,0)</f>
        <v>#REF!</v>
      </c>
      <c r="C51" s="1666"/>
      <c r="E51" s="48"/>
      <c r="F51" s="166"/>
      <c r="K51" s="48"/>
      <c r="X51" s="4"/>
      <c r="Y51" s="3"/>
      <c r="Z51" s="5"/>
    </row>
    <row r="52" spans="2:26" ht="14.55" x14ac:dyDescent="0.3">
      <c r="B52" s="1658" t="e">
        <f>IF(#REF!="ja",#REF!,0)</f>
        <v>#REF!</v>
      </c>
      <c r="C52" s="1659"/>
      <c r="E52" s="48"/>
      <c r="F52" s="166"/>
      <c r="K52" s="48"/>
      <c r="X52" s="4"/>
      <c r="Y52" s="3"/>
      <c r="Z52" s="5"/>
    </row>
    <row r="53" spans="2:26" ht="14.55" x14ac:dyDescent="0.3">
      <c r="B53" s="1665" t="e">
        <f>IF(#REF!="ja",#REF!,0)</f>
        <v>#REF!</v>
      </c>
      <c r="C53" s="1666"/>
      <c r="E53" s="48"/>
      <c r="F53" s="166"/>
      <c r="K53" s="48"/>
      <c r="X53" s="4"/>
      <c r="Y53" s="3"/>
      <c r="Z53" s="5"/>
    </row>
    <row r="54" spans="2:26" ht="14.55" x14ac:dyDescent="0.3">
      <c r="B54" s="1665" t="e">
        <f>IF(#REF!="ja",#REF!,0)</f>
        <v>#REF!</v>
      </c>
      <c r="C54" s="1666"/>
      <c r="E54" s="48"/>
      <c r="F54" s="166"/>
      <c r="K54" s="48"/>
      <c r="X54" s="4"/>
      <c r="Y54" s="3"/>
      <c r="Z54" s="5"/>
    </row>
    <row r="55" spans="2:26" ht="14.55" x14ac:dyDescent="0.3">
      <c r="B55" s="1665" t="e">
        <f>IF(#REF!="ja",#REF!,0)</f>
        <v>#REF!</v>
      </c>
      <c r="C55" s="1666"/>
      <c r="E55" s="48"/>
      <c r="F55" s="166"/>
      <c r="K55" s="48"/>
      <c r="X55" s="4"/>
      <c r="Y55" s="3"/>
      <c r="Z55" s="5"/>
    </row>
    <row r="56" spans="2:26" ht="14.55" x14ac:dyDescent="0.3">
      <c r="B56" s="1665" t="e">
        <f>IF(#REF!="ja",#REF!,0)</f>
        <v>#REF!</v>
      </c>
      <c r="C56" s="1666"/>
      <c r="E56" s="48"/>
      <c r="F56" s="166"/>
      <c r="K56" s="48"/>
      <c r="X56" s="4"/>
      <c r="Y56" s="3"/>
      <c r="Z56" s="5"/>
    </row>
    <row r="57" spans="2:26" ht="14.55" x14ac:dyDescent="0.3">
      <c r="B57" s="1665" t="e">
        <f>IF(#REF!="ja",#REF!,0)</f>
        <v>#REF!</v>
      </c>
      <c r="C57" s="1666"/>
      <c r="E57" s="48"/>
      <c r="F57" s="166"/>
      <c r="K57" s="48"/>
      <c r="X57" s="4"/>
      <c r="Y57" s="3"/>
      <c r="Z57" s="5"/>
    </row>
    <row r="58" spans="2:26" ht="14.55" x14ac:dyDescent="0.3">
      <c r="B58" s="1665" t="e">
        <f>IF(#REF!="ja",#REF!,0)</f>
        <v>#REF!</v>
      </c>
      <c r="C58" s="1666"/>
      <c r="E58" s="48"/>
      <c r="F58" s="166"/>
      <c r="K58" s="48"/>
      <c r="X58" s="4"/>
      <c r="Y58" s="3"/>
      <c r="Z58" s="5"/>
    </row>
    <row r="59" spans="2:26" ht="14.55" x14ac:dyDescent="0.3">
      <c r="B59" s="1665" t="e">
        <f>IF(#REF!="ja",#REF!,0)</f>
        <v>#REF!</v>
      </c>
      <c r="C59" s="1666"/>
      <c r="E59" s="48"/>
      <c r="F59" s="166"/>
      <c r="K59" s="48"/>
      <c r="X59" s="4"/>
      <c r="Y59" s="3"/>
      <c r="Z59" s="5"/>
    </row>
    <row r="60" spans="2:26" ht="14.55" x14ac:dyDescent="0.3">
      <c r="B60" s="1665" t="e">
        <f>IF(#REF!="ja",#REF!,0)</f>
        <v>#REF!</v>
      </c>
      <c r="C60" s="1666"/>
      <c r="E60" s="48"/>
      <c r="F60" s="166"/>
      <c r="K60" s="48"/>
      <c r="X60" s="4"/>
      <c r="Y60" s="3"/>
      <c r="Z60" s="5"/>
    </row>
    <row r="61" spans="2:26" ht="14.55" x14ac:dyDescent="0.3">
      <c r="B61" s="1665" t="e">
        <f>IF(#REF!="ja",#REF!,0)</f>
        <v>#REF!</v>
      </c>
      <c r="C61" s="1666"/>
      <c r="E61" s="48"/>
      <c r="F61" s="166"/>
      <c r="K61" s="48"/>
      <c r="X61" s="4"/>
      <c r="Y61" s="3"/>
      <c r="Z61" s="5"/>
    </row>
    <row r="62" spans="2:26" ht="14.55" x14ac:dyDescent="0.3">
      <c r="B62" s="1665" t="e">
        <f>IF(#REF!="ja",#REF!,0)</f>
        <v>#REF!</v>
      </c>
      <c r="C62" s="1666"/>
      <c r="E62" s="48"/>
      <c r="F62" s="166"/>
      <c r="K62" s="48"/>
      <c r="X62" s="4"/>
      <c r="Y62" s="3"/>
      <c r="Z62" s="5"/>
    </row>
    <row r="63" spans="2:26" ht="14.55" x14ac:dyDescent="0.3">
      <c r="B63" s="1665" t="e">
        <f>IF(#REF!="ja",#REF!,0)</f>
        <v>#REF!</v>
      </c>
      <c r="C63" s="1666"/>
      <c r="E63" s="48"/>
      <c r="F63" s="166"/>
      <c r="K63" s="48"/>
      <c r="X63" s="4"/>
      <c r="Y63" s="3"/>
      <c r="Z63" s="5"/>
    </row>
    <row r="64" spans="2:26" ht="14.55" x14ac:dyDescent="0.3">
      <c r="B64" s="1665" t="e">
        <f>IF(#REF!="ja",#REF!,0)</f>
        <v>#REF!</v>
      </c>
      <c r="C64" s="1666"/>
      <c r="E64" s="48"/>
      <c r="F64" s="166"/>
      <c r="K64" s="48"/>
      <c r="X64" s="4"/>
      <c r="Y64" s="3"/>
      <c r="Z64" s="5"/>
    </row>
    <row r="65" spans="1:26" ht="14.55" x14ac:dyDescent="0.3">
      <c r="B65" s="1665" t="e">
        <f>IF(#REF!="ja",#REF!,0)</f>
        <v>#REF!</v>
      </c>
      <c r="C65" s="1666"/>
      <c r="E65" s="48"/>
      <c r="F65" s="166"/>
      <c r="K65" s="48"/>
      <c r="X65" s="4"/>
      <c r="Y65" s="3"/>
      <c r="Z65" s="5"/>
    </row>
    <row r="66" spans="1:26" ht="14.55" x14ac:dyDescent="0.3">
      <c r="B66" s="1665" t="e">
        <f>IF(#REF!="ja",#REF!,0)</f>
        <v>#REF!</v>
      </c>
      <c r="C66" s="1666"/>
      <c r="E66" s="48"/>
      <c r="F66" s="166"/>
      <c r="K66" s="48"/>
      <c r="X66" s="4"/>
      <c r="Y66" s="3"/>
      <c r="Z66" s="5"/>
    </row>
    <row r="67" spans="1:26" ht="14.55" x14ac:dyDescent="0.3">
      <c r="B67" s="1665" t="e">
        <f>IF(#REF!="ja",#REF!,0)</f>
        <v>#REF!</v>
      </c>
      <c r="C67" s="1666"/>
      <c r="E67" s="48"/>
      <c r="F67" s="166"/>
      <c r="K67" s="48"/>
      <c r="X67" s="4"/>
      <c r="Y67" s="3"/>
      <c r="Z67" s="5"/>
    </row>
    <row r="68" spans="1:26" ht="14.55" x14ac:dyDescent="0.3">
      <c r="B68" s="1665" t="e">
        <f>IF(#REF!="ja",#REF!,0)</f>
        <v>#REF!</v>
      </c>
      <c r="C68" s="1666"/>
      <c r="E68" s="48"/>
      <c r="F68" s="166"/>
      <c r="K68" s="48"/>
      <c r="X68" s="4"/>
      <c r="Y68" s="3"/>
      <c r="Z68" s="5"/>
    </row>
    <row r="69" spans="1:26" ht="14.55" x14ac:dyDescent="0.3">
      <c r="B69" s="1665" t="e">
        <f>IF(#REF!="ja",#REF!,0)</f>
        <v>#REF!</v>
      </c>
      <c r="C69" s="1666"/>
      <c r="E69" s="48"/>
      <c r="F69" s="166"/>
      <c r="K69" s="48"/>
      <c r="X69" s="4"/>
      <c r="Y69" s="3"/>
      <c r="Z69" s="5"/>
    </row>
    <row r="70" spans="1:26" ht="14.55" x14ac:dyDescent="0.3">
      <c r="B70" s="1665" t="e">
        <f>IF(#REF!="ja",#REF!,0)</f>
        <v>#REF!</v>
      </c>
      <c r="C70" s="1666"/>
      <c r="E70" s="48"/>
      <c r="F70" s="166"/>
      <c r="K70" s="48"/>
      <c r="X70" s="4"/>
      <c r="Y70" s="3"/>
      <c r="Z70" s="5"/>
    </row>
    <row r="71" spans="1:26" ht="14.55" x14ac:dyDescent="0.3">
      <c r="B71" s="1665" t="e">
        <f>IF(#REF!="ja",#REF!,0)</f>
        <v>#REF!</v>
      </c>
      <c r="C71" s="1666"/>
      <c r="E71" s="48"/>
      <c r="F71" s="166"/>
      <c r="K71" s="48"/>
      <c r="X71" s="4"/>
      <c r="Y71" s="3"/>
      <c r="Z71" s="5"/>
    </row>
    <row r="72" spans="1:26" ht="15.2" thickBot="1" x14ac:dyDescent="0.35">
      <c r="B72" s="1665" t="e">
        <f>IF(#REF!="ja",#REF!,0)</f>
        <v>#REF!</v>
      </c>
      <c r="C72" s="1666"/>
      <c r="E72" s="48"/>
      <c r="F72" s="166"/>
      <c r="K72" s="48"/>
      <c r="X72" s="4"/>
      <c r="Y72" s="3"/>
      <c r="Z72" s="5"/>
    </row>
    <row r="73" spans="1:26" ht="15.2" thickBot="1" x14ac:dyDescent="0.35">
      <c r="B73" s="208"/>
      <c r="C73" s="208"/>
      <c r="E73" s="48"/>
      <c r="F73" s="166"/>
      <c r="K73" s="48"/>
      <c r="X73" s="4"/>
      <c r="Y73" s="3"/>
      <c r="Z73" s="5"/>
    </row>
    <row r="74" spans="1:26" ht="15.2" thickBot="1" x14ac:dyDescent="0.35">
      <c r="A74" s="1" t="s">
        <v>639</v>
      </c>
      <c r="B74" s="1648" t="e">
        <f>SUM(B7:C72)</f>
        <v>#REF!</v>
      </c>
      <c r="C74" s="1649"/>
      <c r="E74" s="1691"/>
      <c r="F74" s="1691"/>
      <c r="H74" s="1691"/>
      <c r="I74" s="1691"/>
      <c r="K74" s="1691"/>
      <c r="L74" s="1691"/>
      <c r="N74" s="1691"/>
      <c r="O74" s="1691"/>
      <c r="P74" s="301"/>
      <c r="Q74" s="1691"/>
      <c r="R74" s="1691"/>
      <c r="S74" s="301"/>
      <c r="T74" s="295"/>
      <c r="U74" s="296"/>
      <c r="X74" s="4"/>
      <c r="Y74" s="3"/>
      <c r="Z74" s="5"/>
    </row>
    <row r="75" spans="1:26" ht="14.55" x14ac:dyDescent="0.3">
      <c r="A75" s="48"/>
      <c r="X75" s="4"/>
      <c r="Y75" s="3"/>
      <c r="Z75" s="5"/>
    </row>
    <row r="76" spans="1:26" ht="15.8" x14ac:dyDescent="0.3">
      <c r="A76" s="1678" t="s">
        <v>641</v>
      </c>
      <c r="B76" s="1678"/>
      <c r="C76" s="1678"/>
      <c r="D76" s="1678"/>
      <c r="E76" s="1678"/>
      <c r="F76" s="1678"/>
      <c r="G76" s="1678"/>
      <c r="H76" s="1678"/>
      <c r="I76" s="1678"/>
      <c r="J76" s="1678"/>
      <c r="X76" s="4"/>
      <c r="Y76" s="3"/>
      <c r="Z76" s="5"/>
    </row>
    <row r="77" spans="1:26" ht="15.2" thickBot="1" x14ac:dyDescent="0.35">
      <c r="X77" s="4"/>
      <c r="Y77" s="3"/>
      <c r="Z77" s="5"/>
    </row>
    <row r="78" spans="1:26" ht="15.2" thickBot="1" x14ac:dyDescent="0.35">
      <c r="B78" s="1679" t="e">
        <f>#REF!</f>
        <v>#REF!</v>
      </c>
      <c r="C78" s="1680"/>
      <c r="D78" s="1680"/>
      <c r="E78" s="1680"/>
      <c r="F78" s="1680"/>
      <c r="G78" s="1680"/>
      <c r="H78" s="1680"/>
      <c r="I78" s="1680"/>
      <c r="J78" s="1680"/>
      <c r="K78" s="1681"/>
      <c r="X78" s="4"/>
      <c r="Y78" s="3"/>
      <c r="Z78" s="5"/>
    </row>
    <row r="79" spans="1:26" ht="15.2" thickBot="1" x14ac:dyDescent="0.35">
      <c r="B79" s="100" t="s">
        <v>115</v>
      </c>
      <c r="C79" s="148">
        <v>1</v>
      </c>
      <c r="D79" s="149">
        <v>2</v>
      </c>
      <c r="E79" s="149">
        <v>3</v>
      </c>
      <c r="F79" s="149">
        <v>4</v>
      </c>
      <c r="G79" s="149">
        <v>5</v>
      </c>
      <c r="H79" s="149">
        <v>6</v>
      </c>
      <c r="I79" s="149">
        <v>7</v>
      </c>
      <c r="J79" s="150">
        <v>8</v>
      </c>
      <c r="K79" s="150">
        <v>9</v>
      </c>
      <c r="L79" s="146"/>
      <c r="M79" s="146"/>
      <c r="N79" s="146"/>
      <c r="O79" s="146"/>
      <c r="P79" s="146"/>
      <c r="Q79" s="146"/>
      <c r="R79" s="146"/>
      <c r="S79" s="146"/>
      <c r="T79" s="146"/>
      <c r="U79" s="146"/>
      <c r="X79" s="4"/>
      <c r="Y79" s="3"/>
      <c r="Z79" s="5"/>
    </row>
    <row r="80" spans="1:26" ht="14.55" x14ac:dyDescent="0.3">
      <c r="B80" s="161">
        <v>1</v>
      </c>
      <c r="C80" s="151" t="e">
        <f>IF(C$79=#REF!,#REF!,0)</f>
        <v>#REF!</v>
      </c>
      <c r="D80" s="152" t="e">
        <f>IF(D$79=#REF!,#REF!,0)</f>
        <v>#REF!</v>
      </c>
      <c r="E80" s="152" t="e">
        <f>IF(E$79=#REF!,#REF!,0)</f>
        <v>#REF!</v>
      </c>
      <c r="F80" s="152" t="e">
        <f>IF(F$79=#REF!,#REF!,0)</f>
        <v>#REF!</v>
      </c>
      <c r="G80" s="152" t="e">
        <f>IF(G$79=#REF!,#REF!,0)</f>
        <v>#REF!</v>
      </c>
      <c r="H80" s="152" t="e">
        <f>IF(H$79=#REF!,#REF!,0)</f>
        <v>#REF!</v>
      </c>
      <c r="I80" s="152" t="e">
        <f>IF(I$79=#REF!,#REF!,0)</f>
        <v>#REF!</v>
      </c>
      <c r="J80" s="152" t="e">
        <f>IF(J$79=#REF!,#REF!,0)</f>
        <v>#REF!</v>
      </c>
      <c r="K80" s="153" t="e">
        <f>IF(K$79=#REF!,#REF!,0)</f>
        <v>#REF!</v>
      </c>
      <c r="L80" s="48"/>
      <c r="M80" s="48"/>
      <c r="N80" s="48"/>
      <c r="O80" s="48"/>
      <c r="P80" s="48"/>
      <c r="Q80" s="48"/>
      <c r="R80" s="48"/>
      <c r="S80" s="48"/>
      <c r="T80" s="48"/>
      <c r="U80" s="49"/>
      <c r="X80" s="4"/>
      <c r="Y80" s="3"/>
      <c r="Z80" s="5"/>
    </row>
    <row r="81" spans="2:26" ht="14.55" x14ac:dyDescent="0.3">
      <c r="B81" s="162">
        <v>2</v>
      </c>
      <c r="C81" s="154" t="e">
        <f>IF(C$79=#REF!,#REF!,0)</f>
        <v>#REF!</v>
      </c>
      <c r="D81" s="155" t="e">
        <f>IF(D$79=#REF!,#REF!,0)</f>
        <v>#REF!</v>
      </c>
      <c r="E81" s="155" t="e">
        <f>IF(E$79=#REF!,#REF!,0)</f>
        <v>#REF!</v>
      </c>
      <c r="F81" s="155" t="e">
        <f>IF(F$79=#REF!,#REF!,0)</f>
        <v>#REF!</v>
      </c>
      <c r="G81" s="155" t="e">
        <f>IF(G$79=#REF!,#REF!,0)</f>
        <v>#REF!</v>
      </c>
      <c r="H81" s="155" t="e">
        <f>IF(H$79=#REF!,#REF!,0)</f>
        <v>#REF!</v>
      </c>
      <c r="I81" s="155" t="e">
        <f>IF(I$79=#REF!,#REF!,0)</f>
        <v>#REF!</v>
      </c>
      <c r="J81" s="155" t="e">
        <f>IF(J$79=#REF!,#REF!,0)</f>
        <v>#REF!</v>
      </c>
      <c r="K81" s="156" t="e">
        <f>IF(K$79=#REF!,#REF!,0)</f>
        <v>#REF!</v>
      </c>
      <c r="L81" s="48"/>
      <c r="M81" s="48"/>
      <c r="N81" s="48"/>
      <c r="O81" s="48"/>
      <c r="P81" s="48"/>
      <c r="Q81" s="48"/>
      <c r="R81" s="48"/>
      <c r="S81" s="48"/>
      <c r="T81" s="48"/>
      <c r="U81" s="49"/>
      <c r="X81" s="4"/>
      <c r="Y81" s="3"/>
      <c r="Z81" s="5"/>
    </row>
    <row r="82" spans="2:26" ht="14.55" x14ac:dyDescent="0.3">
      <c r="B82" s="162">
        <v>3</v>
      </c>
      <c r="C82" s="154" t="e">
        <f>IF(C$79=#REF!,#REF!,0)</f>
        <v>#REF!</v>
      </c>
      <c r="D82" s="155" t="e">
        <f>IF(D$79=#REF!,#REF!,0)</f>
        <v>#REF!</v>
      </c>
      <c r="E82" s="155" t="e">
        <f>IF(E$79=#REF!,#REF!,0)</f>
        <v>#REF!</v>
      </c>
      <c r="F82" s="155" t="e">
        <f>IF(F$79=#REF!,#REF!,0)</f>
        <v>#REF!</v>
      </c>
      <c r="G82" s="155" t="e">
        <f>IF(G$79=#REF!,#REF!,0)</f>
        <v>#REF!</v>
      </c>
      <c r="H82" s="155" t="e">
        <f>IF(H$79=#REF!,#REF!,0)</f>
        <v>#REF!</v>
      </c>
      <c r="I82" s="155" t="e">
        <f>IF(I$79=#REF!,#REF!,0)</f>
        <v>#REF!</v>
      </c>
      <c r="J82" s="155" t="e">
        <f>IF(J$79=#REF!,#REF!,0)</f>
        <v>#REF!</v>
      </c>
      <c r="K82" s="156" t="e">
        <f>IF(K$79=#REF!,#REF!,0)</f>
        <v>#REF!</v>
      </c>
      <c r="L82" s="48"/>
      <c r="M82" s="48"/>
      <c r="N82" s="48"/>
      <c r="O82" s="48"/>
      <c r="P82" s="48"/>
      <c r="Q82" s="48"/>
      <c r="R82" s="48"/>
      <c r="S82" s="48"/>
      <c r="T82" s="48"/>
      <c r="U82" s="49"/>
      <c r="X82" s="4"/>
      <c r="Y82" s="3"/>
      <c r="Z82" s="5"/>
    </row>
    <row r="83" spans="2:26" ht="14.55" x14ac:dyDescent="0.3">
      <c r="B83" s="162">
        <v>4</v>
      </c>
      <c r="C83" s="154" t="e">
        <f>IF(C$79=#REF!,#REF!,0)</f>
        <v>#REF!</v>
      </c>
      <c r="D83" s="155" t="e">
        <f>IF(D$79=#REF!,#REF!,0)</f>
        <v>#REF!</v>
      </c>
      <c r="E83" s="155" t="e">
        <f>IF(E$79=#REF!,#REF!,0)</f>
        <v>#REF!</v>
      </c>
      <c r="F83" s="155" t="e">
        <f>IF(F$79=#REF!,#REF!,0)</f>
        <v>#REF!</v>
      </c>
      <c r="G83" s="155" t="e">
        <f>IF(G$79=#REF!,#REF!,0)</f>
        <v>#REF!</v>
      </c>
      <c r="H83" s="155" t="e">
        <f>IF(H$79=#REF!,#REF!,0)</f>
        <v>#REF!</v>
      </c>
      <c r="I83" s="155" t="e">
        <f>IF(I$79=#REF!,#REF!,0)</f>
        <v>#REF!</v>
      </c>
      <c r="J83" s="155" t="e">
        <f>IF(J$79=#REF!,#REF!,0)</f>
        <v>#REF!</v>
      </c>
      <c r="K83" s="156" t="e">
        <f>IF(K$79=#REF!,#REF!,0)</f>
        <v>#REF!</v>
      </c>
      <c r="L83" s="48"/>
      <c r="M83" s="48"/>
      <c r="N83" s="48"/>
      <c r="O83" s="48"/>
      <c r="P83" s="48"/>
      <c r="Q83" s="48"/>
      <c r="R83" s="48"/>
      <c r="S83" s="48"/>
      <c r="T83" s="48"/>
      <c r="U83" s="49"/>
      <c r="X83" s="4"/>
      <c r="Y83" s="3"/>
      <c r="Z83" s="5"/>
    </row>
    <row r="84" spans="2:26" ht="14.55" x14ac:dyDescent="0.3">
      <c r="B84" s="162">
        <v>5</v>
      </c>
      <c r="C84" s="154" t="e">
        <f>IF(C$79=#REF!,#REF!,0)</f>
        <v>#REF!</v>
      </c>
      <c r="D84" s="155" t="e">
        <f>IF(D$79=#REF!,#REF!,0)</f>
        <v>#REF!</v>
      </c>
      <c r="E84" s="155" t="e">
        <f>IF(E$79=#REF!,#REF!,0)</f>
        <v>#REF!</v>
      </c>
      <c r="F84" s="155" t="e">
        <f>IF(F$79=#REF!,#REF!,0)</f>
        <v>#REF!</v>
      </c>
      <c r="G84" s="155" t="e">
        <f>IF(G$79=#REF!,#REF!,0)</f>
        <v>#REF!</v>
      </c>
      <c r="H84" s="155" t="e">
        <f>IF(H$79=#REF!,#REF!,0)</f>
        <v>#REF!</v>
      </c>
      <c r="I84" s="155" t="e">
        <f>IF(I$79=#REF!,#REF!,0)</f>
        <v>#REF!</v>
      </c>
      <c r="J84" s="155" t="e">
        <f>IF(J$79=#REF!,#REF!,0)</f>
        <v>#REF!</v>
      </c>
      <c r="K84" s="156" t="e">
        <f>IF(K$79=#REF!,#REF!,0)</f>
        <v>#REF!</v>
      </c>
      <c r="U84" s="147"/>
      <c r="X84" s="4"/>
      <c r="Y84" s="3"/>
      <c r="Z84" s="5"/>
    </row>
    <row r="85" spans="2:26" ht="14.55" x14ac:dyDescent="0.3">
      <c r="B85" s="162">
        <v>6</v>
      </c>
      <c r="C85" s="154" t="e">
        <f>IF(C$79=#REF!,#REF!,0)</f>
        <v>#REF!</v>
      </c>
      <c r="D85" s="155" t="e">
        <f>IF(D$79=#REF!,#REF!,0)</f>
        <v>#REF!</v>
      </c>
      <c r="E85" s="155" t="e">
        <f>IF(E$79=#REF!,#REF!,0)</f>
        <v>#REF!</v>
      </c>
      <c r="F85" s="155" t="e">
        <f>IF(F$79=#REF!,#REF!,0)</f>
        <v>#REF!</v>
      </c>
      <c r="G85" s="155" t="e">
        <f>IF(G$79=#REF!,#REF!,0)</f>
        <v>#REF!</v>
      </c>
      <c r="H85" s="155" t="e">
        <f>IF(H$79=#REF!,#REF!,0)</f>
        <v>#REF!</v>
      </c>
      <c r="I85" s="155" t="e">
        <f>IF(I$79=#REF!,#REF!,0)</f>
        <v>#REF!</v>
      </c>
      <c r="J85" s="155" t="e">
        <f>IF(J$79=#REF!,#REF!,0)</f>
        <v>#REF!</v>
      </c>
      <c r="K85" s="156" t="e">
        <f>IF(K$79=#REF!,#REF!,0)</f>
        <v>#REF!</v>
      </c>
      <c r="X85" s="4"/>
      <c r="Y85" s="3"/>
      <c r="Z85" s="5"/>
    </row>
    <row r="86" spans="2:26" ht="14.55" x14ac:dyDescent="0.3">
      <c r="B86" s="162">
        <v>7</v>
      </c>
      <c r="C86" s="154" t="e">
        <f>IF(C$79=#REF!,#REF!,0)</f>
        <v>#REF!</v>
      </c>
      <c r="D86" s="155" t="e">
        <f>IF(D$79=#REF!,#REF!,0)</f>
        <v>#REF!</v>
      </c>
      <c r="E86" s="155" t="e">
        <f>IF(E$79=#REF!,#REF!,0)</f>
        <v>#REF!</v>
      </c>
      <c r="F86" s="155" t="e">
        <f>IF(F$79=#REF!,#REF!,0)</f>
        <v>#REF!</v>
      </c>
      <c r="G86" s="155" t="e">
        <f>IF(G$79=#REF!,#REF!,0)</f>
        <v>#REF!</v>
      </c>
      <c r="H86" s="155" t="e">
        <f>IF(H$79=#REF!,#REF!,0)</f>
        <v>#REF!</v>
      </c>
      <c r="I86" s="155" t="e">
        <f>IF(I$79=#REF!,#REF!,0)</f>
        <v>#REF!</v>
      </c>
      <c r="J86" s="155" t="e">
        <f>IF(J$79=#REF!,#REF!,0)</f>
        <v>#REF!</v>
      </c>
      <c r="K86" s="156" t="e">
        <f>IF(K$79=#REF!,#REF!,0)</f>
        <v>#REF!</v>
      </c>
      <c r="X86" s="4"/>
      <c r="Y86" s="3"/>
      <c r="Z86" s="5"/>
    </row>
    <row r="87" spans="2:26" ht="14.55" x14ac:dyDescent="0.3">
      <c r="B87" s="162">
        <v>8</v>
      </c>
      <c r="C87" s="154" t="e">
        <f>IF(C$79=#REF!,#REF!,0)</f>
        <v>#REF!</v>
      </c>
      <c r="D87" s="155" t="e">
        <f>IF(D$79=#REF!,#REF!,0)</f>
        <v>#REF!</v>
      </c>
      <c r="E87" s="155" t="e">
        <f>IF(E$79=#REF!,#REF!,0)</f>
        <v>#REF!</v>
      </c>
      <c r="F87" s="155" t="e">
        <f>IF(F$79=#REF!,#REF!,0)</f>
        <v>#REF!</v>
      </c>
      <c r="G87" s="155" t="e">
        <f>IF(G$79=#REF!,#REF!,0)</f>
        <v>#REF!</v>
      </c>
      <c r="H87" s="155" t="e">
        <f>IF(H$79=#REF!,#REF!,0)</f>
        <v>#REF!</v>
      </c>
      <c r="I87" s="155" t="e">
        <f>IF(I$79=#REF!,#REF!,0)</f>
        <v>#REF!</v>
      </c>
      <c r="J87" s="155" t="e">
        <f>IF(J$79=#REF!,#REF!,0)</f>
        <v>#REF!</v>
      </c>
      <c r="K87" s="156" t="e">
        <f>IF(K$79=#REF!,#REF!,0)</f>
        <v>#REF!</v>
      </c>
      <c r="X87" s="4"/>
      <c r="Y87" s="3"/>
      <c r="Z87" s="5"/>
    </row>
    <row r="88" spans="2:26" ht="14.55" x14ac:dyDescent="0.3">
      <c r="B88" s="162">
        <v>9</v>
      </c>
      <c r="C88" s="154" t="e">
        <f>IF(C$79=#REF!,#REF!,0)</f>
        <v>#REF!</v>
      </c>
      <c r="D88" s="155" t="e">
        <f>IF(D$79=#REF!,#REF!,0)</f>
        <v>#REF!</v>
      </c>
      <c r="E88" s="155" t="e">
        <f>IF(E$79=#REF!,#REF!,0)</f>
        <v>#REF!</v>
      </c>
      <c r="F88" s="155" t="e">
        <f>IF(F$79=#REF!,#REF!,0)</f>
        <v>#REF!</v>
      </c>
      <c r="G88" s="155" t="e">
        <f>IF(G$79=#REF!,#REF!,0)</f>
        <v>#REF!</v>
      </c>
      <c r="H88" s="155" t="e">
        <f>IF(H$79=#REF!,#REF!,0)</f>
        <v>#REF!</v>
      </c>
      <c r="I88" s="155" t="e">
        <f>IF(I$79=#REF!,#REF!,0)</f>
        <v>#REF!</v>
      </c>
      <c r="J88" s="155" t="e">
        <f>IF(J$79=#REF!,#REF!,0)</f>
        <v>#REF!</v>
      </c>
      <c r="K88" s="156" t="e">
        <f>IF(K$79=#REF!,#REF!,0)</f>
        <v>#REF!</v>
      </c>
      <c r="X88" s="4"/>
      <c r="Y88" s="3"/>
      <c r="Z88" s="5"/>
    </row>
    <row r="89" spans="2:26" ht="14.55" x14ac:dyDescent="0.3">
      <c r="B89" s="162">
        <v>10</v>
      </c>
      <c r="C89" s="154" t="e">
        <f>IF(C$79=#REF!,#REF!,0)</f>
        <v>#REF!</v>
      </c>
      <c r="D89" s="155" t="e">
        <f>IF(D$79=#REF!,#REF!,0)</f>
        <v>#REF!</v>
      </c>
      <c r="E89" s="155" t="e">
        <f>IF(E$79=#REF!,#REF!,0)</f>
        <v>#REF!</v>
      </c>
      <c r="F89" s="155" t="e">
        <f>IF(F$79=#REF!,#REF!,0)</f>
        <v>#REF!</v>
      </c>
      <c r="G89" s="155" t="e">
        <f>IF(G$79=#REF!,#REF!,0)</f>
        <v>#REF!</v>
      </c>
      <c r="H89" s="155" t="e">
        <f>IF(H$79=#REF!,#REF!,0)</f>
        <v>#REF!</v>
      </c>
      <c r="I89" s="155" t="e">
        <f>IF(I$79=#REF!,#REF!,0)</f>
        <v>#REF!</v>
      </c>
      <c r="J89" s="155" t="e">
        <f>IF(J$79=#REF!,#REF!,0)</f>
        <v>#REF!</v>
      </c>
      <c r="K89" s="156" t="e">
        <f>IF(K$79=#REF!,#REF!,0)</f>
        <v>#REF!</v>
      </c>
      <c r="X89" s="4"/>
      <c r="Y89" s="3"/>
      <c r="Z89" s="5"/>
    </row>
    <row r="90" spans="2:26" ht="14.55" x14ac:dyDescent="0.3">
      <c r="B90" s="162">
        <v>11</v>
      </c>
      <c r="C90" s="154" t="e">
        <f>IF(C$79=#REF!,#REF!,0)</f>
        <v>#REF!</v>
      </c>
      <c r="D90" s="155" t="e">
        <f>IF(D$79=#REF!,#REF!,0)</f>
        <v>#REF!</v>
      </c>
      <c r="E90" s="155" t="e">
        <f>IF(E$79=#REF!,#REF!,0)</f>
        <v>#REF!</v>
      </c>
      <c r="F90" s="155" t="e">
        <f>IF(F$79=#REF!,#REF!,0)</f>
        <v>#REF!</v>
      </c>
      <c r="G90" s="155" t="e">
        <f>IF(G$79=#REF!,#REF!,0)</f>
        <v>#REF!</v>
      </c>
      <c r="H90" s="155" t="e">
        <f>IF(H$79=#REF!,#REF!,0)</f>
        <v>#REF!</v>
      </c>
      <c r="I90" s="155" t="e">
        <f>IF(I$79=#REF!,#REF!,0)</f>
        <v>#REF!</v>
      </c>
      <c r="J90" s="155" t="e">
        <f>IF(J$79=#REF!,#REF!,0)</f>
        <v>#REF!</v>
      </c>
      <c r="K90" s="156" t="e">
        <f>IF(K$79=#REF!,#REF!,0)</f>
        <v>#REF!</v>
      </c>
      <c r="X90" s="4"/>
      <c r="Y90" s="3"/>
      <c r="Z90" s="5"/>
    </row>
    <row r="91" spans="2:26" ht="14.55" x14ac:dyDescent="0.3">
      <c r="B91" s="162">
        <v>12</v>
      </c>
      <c r="C91" s="154" t="e">
        <f>IF(C$79=#REF!,#REF!,0)</f>
        <v>#REF!</v>
      </c>
      <c r="D91" s="155" t="e">
        <f>IF(D$79=#REF!,#REF!,0)</f>
        <v>#REF!</v>
      </c>
      <c r="E91" s="155" t="e">
        <f>IF(E$79=#REF!,#REF!,0)</f>
        <v>#REF!</v>
      </c>
      <c r="F91" s="155" t="e">
        <f>IF(F$79=#REF!,#REF!,0)</f>
        <v>#REF!</v>
      </c>
      <c r="G91" s="155" t="e">
        <f>IF(G$79=#REF!,#REF!,0)</f>
        <v>#REF!</v>
      </c>
      <c r="H91" s="155" t="e">
        <f>IF(H$79=#REF!,#REF!,0)</f>
        <v>#REF!</v>
      </c>
      <c r="I91" s="155" t="e">
        <f>IF(I$79=#REF!,#REF!,0)</f>
        <v>#REF!</v>
      </c>
      <c r="J91" s="155" t="e">
        <f>IF(J$79=#REF!,#REF!,0)</f>
        <v>#REF!</v>
      </c>
      <c r="K91" s="156" t="e">
        <f>IF(K$79=#REF!,#REF!,0)</f>
        <v>#REF!</v>
      </c>
      <c r="X91" s="4"/>
      <c r="Y91" s="3"/>
      <c r="Z91" s="5"/>
    </row>
    <row r="92" spans="2:26" ht="14.55" x14ac:dyDescent="0.3">
      <c r="B92" s="162">
        <v>13</v>
      </c>
      <c r="C92" s="154" t="e">
        <f>IF(C$79=#REF!,#REF!,0)</f>
        <v>#REF!</v>
      </c>
      <c r="D92" s="155" t="e">
        <f>IF(D$79=#REF!,#REF!,0)</f>
        <v>#REF!</v>
      </c>
      <c r="E92" s="155" t="e">
        <f>IF(E$79=#REF!,#REF!,0)</f>
        <v>#REF!</v>
      </c>
      <c r="F92" s="155" t="e">
        <f>IF(F$79=#REF!,#REF!,0)</f>
        <v>#REF!</v>
      </c>
      <c r="G92" s="155" t="e">
        <f>IF(G$79=#REF!,#REF!,0)</f>
        <v>#REF!</v>
      </c>
      <c r="H92" s="155" t="e">
        <f>IF(H$79=#REF!,#REF!,0)</f>
        <v>#REF!</v>
      </c>
      <c r="I92" s="155" t="e">
        <f>IF(I$79=#REF!,#REF!,0)</f>
        <v>#REF!</v>
      </c>
      <c r="J92" s="155" t="e">
        <f>IF(J$79=#REF!,#REF!,0)</f>
        <v>#REF!</v>
      </c>
      <c r="K92" s="156" t="e">
        <f>IF(K$79=#REF!,#REF!,0)</f>
        <v>#REF!</v>
      </c>
      <c r="X92" s="4"/>
      <c r="Y92" s="3"/>
      <c r="Z92" s="5"/>
    </row>
    <row r="93" spans="2:26" ht="14.55" x14ac:dyDescent="0.3">
      <c r="B93" s="162">
        <v>14</v>
      </c>
      <c r="C93" s="154" t="e">
        <f>IF(C$79=#REF!,#REF!,0)</f>
        <v>#REF!</v>
      </c>
      <c r="D93" s="155" t="e">
        <f>IF(D$79=#REF!,#REF!,0)</f>
        <v>#REF!</v>
      </c>
      <c r="E93" s="155" t="e">
        <f>IF(E$79=#REF!,#REF!,0)</f>
        <v>#REF!</v>
      </c>
      <c r="F93" s="155" t="e">
        <f>IF(F$79=#REF!,#REF!,0)</f>
        <v>#REF!</v>
      </c>
      <c r="G93" s="155" t="e">
        <f>IF(G$79=#REF!,#REF!,0)</f>
        <v>#REF!</v>
      </c>
      <c r="H93" s="155" t="e">
        <f>IF(H$79=#REF!,#REF!,0)</f>
        <v>#REF!</v>
      </c>
      <c r="I93" s="155" t="e">
        <f>IF(I$79=#REF!,#REF!,0)</f>
        <v>#REF!</v>
      </c>
      <c r="J93" s="155" t="e">
        <f>IF(J$79=#REF!,#REF!,0)</f>
        <v>#REF!</v>
      </c>
      <c r="K93" s="156" t="e">
        <f>IF(K$79=#REF!,#REF!,0)</f>
        <v>#REF!</v>
      </c>
      <c r="X93" s="4"/>
      <c r="Y93" s="3"/>
      <c r="Z93" s="5"/>
    </row>
    <row r="94" spans="2:26" ht="14.55" x14ac:dyDescent="0.3">
      <c r="B94" s="162">
        <v>15</v>
      </c>
      <c r="C94" s="154" t="e">
        <f>IF(C$79=#REF!,#REF!,0)</f>
        <v>#REF!</v>
      </c>
      <c r="D94" s="155" t="e">
        <f>IF(D$79=#REF!,#REF!,0)</f>
        <v>#REF!</v>
      </c>
      <c r="E94" s="155" t="e">
        <f>IF(E$79=#REF!,#REF!,0)</f>
        <v>#REF!</v>
      </c>
      <c r="F94" s="155" t="e">
        <f>IF(F$79=#REF!,#REF!,0)</f>
        <v>#REF!</v>
      </c>
      <c r="G94" s="155" t="e">
        <f>IF(G$79=#REF!,#REF!,0)</f>
        <v>#REF!</v>
      </c>
      <c r="H94" s="155" t="e">
        <f>IF(H$79=#REF!,#REF!,0)</f>
        <v>#REF!</v>
      </c>
      <c r="I94" s="155" t="e">
        <f>IF(I$79=#REF!,#REF!,0)</f>
        <v>#REF!</v>
      </c>
      <c r="J94" s="155" t="e">
        <f>IF(J$79=#REF!,#REF!,0)</f>
        <v>#REF!</v>
      </c>
      <c r="K94" s="156" t="e">
        <f>IF(K$79=#REF!,#REF!,0)</f>
        <v>#REF!</v>
      </c>
      <c r="X94" s="4"/>
      <c r="Y94" s="3"/>
      <c r="Z94" s="5"/>
    </row>
    <row r="95" spans="2:26" ht="14.55" x14ac:dyDescent="0.3">
      <c r="B95" s="162">
        <v>16</v>
      </c>
      <c r="C95" s="154" t="e">
        <f>IF(C$79=#REF!,#REF!,0)</f>
        <v>#REF!</v>
      </c>
      <c r="D95" s="155" t="e">
        <f>IF(D$79=#REF!,#REF!,0)</f>
        <v>#REF!</v>
      </c>
      <c r="E95" s="155" t="e">
        <f>IF(E$79=#REF!,#REF!,0)</f>
        <v>#REF!</v>
      </c>
      <c r="F95" s="155" t="e">
        <f>IF(F$79=#REF!,#REF!,0)</f>
        <v>#REF!</v>
      </c>
      <c r="G95" s="155" t="e">
        <f>IF(G$79=#REF!,#REF!,0)</f>
        <v>#REF!</v>
      </c>
      <c r="H95" s="155" t="e">
        <f>IF(H$79=#REF!,#REF!,0)</f>
        <v>#REF!</v>
      </c>
      <c r="I95" s="155" t="e">
        <f>IF(I$79=#REF!,#REF!,0)</f>
        <v>#REF!</v>
      </c>
      <c r="J95" s="155" t="e">
        <f>IF(J$79=#REF!,#REF!,0)</f>
        <v>#REF!</v>
      </c>
      <c r="K95" s="156" t="e">
        <f>IF(K$79=#REF!,#REF!,0)</f>
        <v>#REF!</v>
      </c>
      <c r="X95" s="4"/>
      <c r="Y95" s="3"/>
      <c r="Z95" s="5"/>
    </row>
    <row r="96" spans="2:26" ht="14.55" x14ac:dyDescent="0.3">
      <c r="B96" s="162">
        <v>17</v>
      </c>
      <c r="C96" s="154" t="e">
        <f>IF(C$79=#REF!,#REF!,0)</f>
        <v>#REF!</v>
      </c>
      <c r="D96" s="155" t="e">
        <f>IF(D$79=#REF!,#REF!,0)</f>
        <v>#REF!</v>
      </c>
      <c r="E96" s="155" t="e">
        <f>IF(E$79=#REF!,#REF!,0)</f>
        <v>#REF!</v>
      </c>
      <c r="F96" s="155" t="e">
        <f>IF(F$79=#REF!,#REF!,0)</f>
        <v>#REF!</v>
      </c>
      <c r="G96" s="155" t="e">
        <f>IF(G$79=#REF!,#REF!,0)</f>
        <v>#REF!</v>
      </c>
      <c r="H96" s="155" t="e">
        <f>IF(H$79=#REF!,#REF!,0)</f>
        <v>#REF!</v>
      </c>
      <c r="I96" s="155" t="e">
        <f>IF(I$79=#REF!,#REF!,0)</f>
        <v>#REF!</v>
      </c>
      <c r="J96" s="155" t="e">
        <f>IF(J$79=#REF!,#REF!,0)</f>
        <v>#REF!</v>
      </c>
      <c r="K96" s="156" t="e">
        <f>IF(K$79=#REF!,#REF!,0)</f>
        <v>#REF!</v>
      </c>
      <c r="X96" s="4"/>
      <c r="Y96" s="3"/>
      <c r="Z96" s="5"/>
    </row>
    <row r="97" spans="2:26" ht="14.55" x14ac:dyDescent="0.3">
      <c r="B97" s="162">
        <v>18</v>
      </c>
      <c r="C97" s="154" t="e">
        <f>IF(C$79=#REF!,#REF!,0)</f>
        <v>#REF!</v>
      </c>
      <c r="D97" s="155" t="e">
        <f>IF(D$79=#REF!,#REF!,0)</f>
        <v>#REF!</v>
      </c>
      <c r="E97" s="155" t="e">
        <f>IF(E$79=#REF!,#REF!,0)</f>
        <v>#REF!</v>
      </c>
      <c r="F97" s="155" t="e">
        <f>IF(F$79=#REF!,#REF!,0)</f>
        <v>#REF!</v>
      </c>
      <c r="G97" s="155" t="e">
        <f>IF(G$79=#REF!,#REF!,0)</f>
        <v>#REF!</v>
      </c>
      <c r="H97" s="155" t="e">
        <f>IF(H$79=#REF!,#REF!,0)</f>
        <v>#REF!</v>
      </c>
      <c r="I97" s="155" t="e">
        <f>IF(I$79=#REF!,#REF!,0)</f>
        <v>#REF!</v>
      </c>
      <c r="J97" s="155" t="e">
        <f>IF(J$79=#REF!,#REF!,0)</f>
        <v>#REF!</v>
      </c>
      <c r="K97" s="156" t="e">
        <f>IF(K$79=#REF!,#REF!,0)</f>
        <v>#REF!</v>
      </c>
      <c r="X97" s="4"/>
      <c r="Y97" s="3"/>
      <c r="Z97" s="5"/>
    </row>
    <row r="98" spans="2:26" ht="14.55" x14ac:dyDescent="0.3">
      <c r="B98" s="162">
        <v>19</v>
      </c>
      <c r="C98" s="154" t="e">
        <f>IF(C$79=#REF!,#REF!,0)</f>
        <v>#REF!</v>
      </c>
      <c r="D98" s="155" t="e">
        <f>IF(D$79=#REF!,#REF!,0)</f>
        <v>#REF!</v>
      </c>
      <c r="E98" s="155" t="e">
        <f>IF(E$79=#REF!,#REF!,0)</f>
        <v>#REF!</v>
      </c>
      <c r="F98" s="155" t="e">
        <f>IF(F$79=#REF!,#REF!,0)</f>
        <v>#REF!</v>
      </c>
      <c r="G98" s="155" t="e">
        <f>IF(G$79=#REF!,#REF!,0)</f>
        <v>#REF!</v>
      </c>
      <c r="H98" s="155" t="e">
        <f>IF(H$79=#REF!,#REF!,0)</f>
        <v>#REF!</v>
      </c>
      <c r="I98" s="155" t="e">
        <f>IF(I$79=#REF!,#REF!,0)</f>
        <v>#REF!</v>
      </c>
      <c r="J98" s="155" t="e">
        <f>IF(J$79=#REF!,#REF!,0)</f>
        <v>#REF!</v>
      </c>
      <c r="K98" s="156" t="e">
        <f>IF(K$79=#REF!,#REF!,0)</f>
        <v>#REF!</v>
      </c>
      <c r="X98" s="4"/>
      <c r="Y98" s="3"/>
      <c r="Z98" s="5"/>
    </row>
    <row r="99" spans="2:26" ht="14.55" x14ac:dyDescent="0.3">
      <c r="B99" s="162">
        <v>20</v>
      </c>
      <c r="C99" s="154" t="e">
        <f>IF(C$79=#REF!,#REF!,0)</f>
        <v>#REF!</v>
      </c>
      <c r="D99" s="155" t="e">
        <f>IF(D$79=#REF!,#REF!,0)</f>
        <v>#REF!</v>
      </c>
      <c r="E99" s="155" t="e">
        <f>IF(E$79=#REF!,#REF!,0)</f>
        <v>#REF!</v>
      </c>
      <c r="F99" s="155" t="e">
        <f>IF(F$79=#REF!,#REF!,0)</f>
        <v>#REF!</v>
      </c>
      <c r="G99" s="155" t="e">
        <f>IF(G$79=#REF!,#REF!,0)</f>
        <v>#REF!</v>
      </c>
      <c r="H99" s="155" t="e">
        <f>IF(H$79=#REF!,#REF!,0)</f>
        <v>#REF!</v>
      </c>
      <c r="I99" s="155" t="e">
        <f>IF(I$79=#REF!,#REF!,0)</f>
        <v>#REF!</v>
      </c>
      <c r="J99" s="155" t="e">
        <f>IF(J$79=#REF!,#REF!,0)</f>
        <v>#REF!</v>
      </c>
      <c r="K99" s="156" t="e">
        <f>IF(K$79=#REF!,#REF!,0)</f>
        <v>#REF!</v>
      </c>
      <c r="X99" s="4"/>
      <c r="Y99" s="3"/>
      <c r="Z99" s="5"/>
    </row>
    <row r="100" spans="2:26" ht="14.55" x14ac:dyDescent="0.3">
      <c r="B100" s="162">
        <v>21</v>
      </c>
      <c r="C100" s="154" t="e">
        <f>IF(C$79=#REF!,#REF!,0)</f>
        <v>#REF!</v>
      </c>
      <c r="D100" s="155" t="e">
        <f>IF(D$79=#REF!,#REF!,0)</f>
        <v>#REF!</v>
      </c>
      <c r="E100" s="155" t="e">
        <f>IF(E$79=#REF!,#REF!,0)</f>
        <v>#REF!</v>
      </c>
      <c r="F100" s="155" t="e">
        <f>IF(F$79=#REF!,#REF!,0)</f>
        <v>#REF!</v>
      </c>
      <c r="G100" s="155" t="e">
        <f>IF(G$79=#REF!,#REF!,0)</f>
        <v>#REF!</v>
      </c>
      <c r="H100" s="155" t="e">
        <f>IF(H$79=#REF!,#REF!,0)</f>
        <v>#REF!</v>
      </c>
      <c r="I100" s="155" t="e">
        <f>IF(I$79=#REF!,#REF!,0)</f>
        <v>#REF!</v>
      </c>
      <c r="J100" s="155" t="e">
        <f>IF(J$79=#REF!,#REF!,0)</f>
        <v>#REF!</v>
      </c>
      <c r="K100" s="156" t="e">
        <f>IF(K$79=#REF!,#REF!,0)</f>
        <v>#REF!</v>
      </c>
      <c r="X100" s="4"/>
      <c r="Y100" s="3"/>
      <c r="Z100" s="5"/>
    </row>
    <row r="101" spans="2:26" ht="14.55" x14ac:dyDescent="0.3">
      <c r="B101" s="162">
        <v>22</v>
      </c>
      <c r="C101" s="154" t="e">
        <f>IF(C$79=#REF!,#REF!,0)</f>
        <v>#REF!</v>
      </c>
      <c r="D101" s="155" t="e">
        <f>IF(D$79=#REF!,#REF!,0)</f>
        <v>#REF!</v>
      </c>
      <c r="E101" s="155" t="e">
        <f>IF(E$79=#REF!,#REF!,0)</f>
        <v>#REF!</v>
      </c>
      <c r="F101" s="155" t="e">
        <f>IF(F$79=#REF!,#REF!,0)</f>
        <v>#REF!</v>
      </c>
      <c r="G101" s="155" t="e">
        <f>IF(G$79=#REF!,#REF!,0)</f>
        <v>#REF!</v>
      </c>
      <c r="H101" s="155" t="e">
        <f>IF(H$79=#REF!,#REF!,0)</f>
        <v>#REF!</v>
      </c>
      <c r="I101" s="155" t="e">
        <f>IF(I$79=#REF!,#REF!,0)</f>
        <v>#REF!</v>
      </c>
      <c r="J101" s="155" t="e">
        <f>IF(J$79=#REF!,#REF!,0)</f>
        <v>#REF!</v>
      </c>
      <c r="K101" s="156" t="e">
        <f>IF(K$79=#REF!,#REF!,0)</f>
        <v>#REF!</v>
      </c>
      <c r="X101" s="4"/>
      <c r="Y101" s="3"/>
      <c r="Z101" s="5"/>
    </row>
    <row r="102" spans="2:26" ht="14.55" x14ac:dyDescent="0.3">
      <c r="B102" s="162">
        <v>23</v>
      </c>
      <c r="C102" s="154" t="e">
        <f>IF(C$79=#REF!,#REF!,0)</f>
        <v>#REF!</v>
      </c>
      <c r="D102" s="155" t="e">
        <f>IF(D$79=#REF!,#REF!,0)</f>
        <v>#REF!</v>
      </c>
      <c r="E102" s="155" t="e">
        <f>IF(E$79=#REF!,#REF!,0)</f>
        <v>#REF!</v>
      </c>
      <c r="F102" s="155" t="e">
        <f>IF(F$79=#REF!,#REF!,0)</f>
        <v>#REF!</v>
      </c>
      <c r="G102" s="155" t="e">
        <f>IF(G$79=#REF!,#REF!,0)</f>
        <v>#REF!</v>
      </c>
      <c r="H102" s="155" t="e">
        <f>IF(H$79=#REF!,#REF!,0)</f>
        <v>#REF!</v>
      </c>
      <c r="I102" s="155" t="e">
        <f>IF(I$79=#REF!,#REF!,0)</f>
        <v>#REF!</v>
      </c>
      <c r="J102" s="155" t="e">
        <f>IF(J$79=#REF!,#REF!,0)</f>
        <v>#REF!</v>
      </c>
      <c r="K102" s="156" t="e">
        <f>IF(K$79=#REF!,#REF!,0)</f>
        <v>#REF!</v>
      </c>
      <c r="X102" s="4"/>
      <c r="Y102" s="3"/>
      <c r="Z102" s="5"/>
    </row>
    <row r="103" spans="2:26" ht="14.55" x14ac:dyDescent="0.3">
      <c r="B103" s="162">
        <v>24</v>
      </c>
      <c r="C103" s="154" t="e">
        <f>IF(C$79=#REF!,#REF!,0)</f>
        <v>#REF!</v>
      </c>
      <c r="D103" s="155" t="e">
        <f>IF(D$79=#REF!,#REF!,0)</f>
        <v>#REF!</v>
      </c>
      <c r="E103" s="155" t="e">
        <f>IF(E$79=#REF!,#REF!,0)</f>
        <v>#REF!</v>
      </c>
      <c r="F103" s="155" t="e">
        <f>IF(F$79=#REF!,#REF!,0)</f>
        <v>#REF!</v>
      </c>
      <c r="G103" s="155" t="e">
        <f>IF(G$79=#REF!,#REF!,0)</f>
        <v>#REF!</v>
      </c>
      <c r="H103" s="155" t="e">
        <f>IF(H$79=#REF!,#REF!,0)</f>
        <v>#REF!</v>
      </c>
      <c r="I103" s="155" t="e">
        <f>IF(I$79=#REF!,#REF!,0)</f>
        <v>#REF!</v>
      </c>
      <c r="J103" s="155" t="e">
        <f>IF(J$79=#REF!,#REF!,0)</f>
        <v>#REF!</v>
      </c>
      <c r="K103" s="156" t="e">
        <f>IF(K$79=#REF!,#REF!,0)</f>
        <v>#REF!</v>
      </c>
      <c r="X103" s="4"/>
      <c r="Y103" s="3"/>
      <c r="Z103" s="5"/>
    </row>
    <row r="104" spans="2:26" ht="14.55" x14ac:dyDescent="0.3">
      <c r="B104" s="162">
        <v>25</v>
      </c>
      <c r="C104" s="154" t="e">
        <f>IF(C$79=#REF!,#REF!,0)</f>
        <v>#REF!</v>
      </c>
      <c r="D104" s="155" t="e">
        <f>IF(D$79=#REF!,#REF!,0)</f>
        <v>#REF!</v>
      </c>
      <c r="E104" s="155" t="e">
        <f>IF(E$79=#REF!,#REF!,0)</f>
        <v>#REF!</v>
      </c>
      <c r="F104" s="155" t="e">
        <f>IF(F$79=#REF!,#REF!,0)</f>
        <v>#REF!</v>
      </c>
      <c r="G104" s="155" t="e">
        <f>IF(G$79=#REF!,#REF!,0)</f>
        <v>#REF!</v>
      </c>
      <c r="H104" s="155" t="e">
        <f>IF(H$79=#REF!,#REF!,0)</f>
        <v>#REF!</v>
      </c>
      <c r="I104" s="155" t="e">
        <f>IF(I$79=#REF!,#REF!,0)</f>
        <v>#REF!</v>
      </c>
      <c r="J104" s="155" t="e">
        <f>IF(J$79=#REF!,#REF!,0)</f>
        <v>#REF!</v>
      </c>
      <c r="K104" s="156" t="e">
        <f>IF(K$79=#REF!,#REF!,0)</f>
        <v>#REF!</v>
      </c>
      <c r="L104" s="48"/>
      <c r="M104" s="48"/>
      <c r="N104" s="48"/>
      <c r="O104" s="48"/>
      <c r="P104" s="48"/>
      <c r="Q104" s="48"/>
      <c r="R104" s="48"/>
      <c r="S104" s="48"/>
      <c r="T104" s="48"/>
      <c r="U104" s="49"/>
      <c r="X104" s="4"/>
      <c r="Y104" s="3"/>
      <c r="Z104" s="5"/>
    </row>
    <row r="105" spans="2:26" ht="14.55" x14ac:dyDescent="0.3">
      <c r="B105" s="162">
        <v>26</v>
      </c>
      <c r="C105" s="154" t="e">
        <f>IF(C$79=#REF!,#REF!,0)</f>
        <v>#REF!</v>
      </c>
      <c r="D105" s="155" t="e">
        <f>IF(D$79=#REF!,#REF!,0)</f>
        <v>#REF!</v>
      </c>
      <c r="E105" s="155" t="e">
        <f>IF(E$79=#REF!,#REF!,0)</f>
        <v>#REF!</v>
      </c>
      <c r="F105" s="155" t="e">
        <f>IF(F$79=#REF!,#REF!,0)</f>
        <v>#REF!</v>
      </c>
      <c r="G105" s="155" t="e">
        <f>IF(G$79=#REF!,#REF!,0)</f>
        <v>#REF!</v>
      </c>
      <c r="H105" s="155" t="e">
        <f>IF(H$79=#REF!,#REF!,0)</f>
        <v>#REF!</v>
      </c>
      <c r="I105" s="155" t="e">
        <f>IF(I$79=#REF!,#REF!,0)</f>
        <v>#REF!</v>
      </c>
      <c r="J105" s="155" t="e">
        <f>IF(J$79=#REF!,#REF!,0)</f>
        <v>#REF!</v>
      </c>
      <c r="K105" s="156" t="e">
        <f>IF(K$79=#REF!,#REF!,0)</f>
        <v>#REF!</v>
      </c>
      <c r="L105" s="48"/>
      <c r="M105" s="48"/>
      <c r="N105" s="48"/>
      <c r="O105" s="48"/>
      <c r="P105" s="48"/>
      <c r="Q105" s="48"/>
      <c r="R105" s="48"/>
      <c r="S105" s="48"/>
      <c r="T105" s="48"/>
      <c r="U105" s="49"/>
      <c r="X105" s="4"/>
      <c r="Y105" s="3"/>
      <c r="Z105" s="5"/>
    </row>
    <row r="106" spans="2:26" ht="14.55" x14ac:dyDescent="0.3">
      <c r="B106" s="162">
        <v>27</v>
      </c>
      <c r="C106" s="154" t="e">
        <f>IF(C$79=#REF!,#REF!,0)</f>
        <v>#REF!</v>
      </c>
      <c r="D106" s="155" t="e">
        <f>IF(D$79=#REF!,#REF!,0)</f>
        <v>#REF!</v>
      </c>
      <c r="E106" s="155" t="e">
        <f>IF(E$79=#REF!,#REF!,0)</f>
        <v>#REF!</v>
      </c>
      <c r="F106" s="155" t="e">
        <f>IF(F$79=#REF!,#REF!,0)</f>
        <v>#REF!</v>
      </c>
      <c r="G106" s="155" t="e">
        <f>IF(G$79=#REF!,#REF!,0)</f>
        <v>#REF!</v>
      </c>
      <c r="H106" s="155" t="e">
        <f>IF(H$79=#REF!,#REF!,0)</f>
        <v>#REF!</v>
      </c>
      <c r="I106" s="155" t="e">
        <f>IF(I$79=#REF!,#REF!,0)</f>
        <v>#REF!</v>
      </c>
      <c r="J106" s="155" t="e">
        <f>IF(J$79=#REF!,#REF!,0)</f>
        <v>#REF!</v>
      </c>
      <c r="K106" s="156" t="e">
        <f>IF(K$79=#REF!,#REF!,0)</f>
        <v>#REF!</v>
      </c>
      <c r="L106" s="48"/>
      <c r="M106" s="48"/>
      <c r="N106" s="48"/>
      <c r="O106" s="48"/>
      <c r="P106" s="48"/>
      <c r="Q106" s="48"/>
      <c r="R106" s="48"/>
      <c r="S106" s="48"/>
      <c r="T106" s="48"/>
      <c r="U106" s="49"/>
      <c r="X106" s="4"/>
      <c r="Y106" s="3"/>
      <c r="Z106" s="5"/>
    </row>
    <row r="107" spans="2:26" ht="14.55" x14ac:dyDescent="0.3">
      <c r="B107" s="162">
        <v>28</v>
      </c>
      <c r="C107" s="154" t="e">
        <f>IF(C$79=#REF!,#REF!,0)</f>
        <v>#REF!</v>
      </c>
      <c r="D107" s="155" t="e">
        <f>IF(D$79=#REF!,#REF!,0)</f>
        <v>#REF!</v>
      </c>
      <c r="E107" s="155" t="e">
        <f>IF(E$79=#REF!,#REF!,0)</f>
        <v>#REF!</v>
      </c>
      <c r="F107" s="155" t="e">
        <f>IF(F$79=#REF!,#REF!,0)</f>
        <v>#REF!</v>
      </c>
      <c r="G107" s="155" t="e">
        <f>IF(G$79=#REF!,#REF!,0)</f>
        <v>#REF!</v>
      </c>
      <c r="H107" s="155" t="e">
        <f>IF(H$79=#REF!,#REF!,0)</f>
        <v>#REF!</v>
      </c>
      <c r="I107" s="155" t="e">
        <f>IF(I$79=#REF!,#REF!,0)</f>
        <v>#REF!</v>
      </c>
      <c r="J107" s="155" t="e">
        <f>IF(J$79=#REF!,#REF!,0)</f>
        <v>#REF!</v>
      </c>
      <c r="K107" s="156" t="e">
        <f>IF(K$79=#REF!,#REF!,0)</f>
        <v>#REF!</v>
      </c>
      <c r="L107" s="48"/>
      <c r="M107" s="48"/>
      <c r="N107" s="48"/>
      <c r="O107" s="48"/>
      <c r="P107" s="48"/>
      <c r="Q107" s="48"/>
      <c r="R107" s="48"/>
      <c r="S107" s="48"/>
      <c r="T107" s="48"/>
      <c r="U107" s="49"/>
      <c r="X107" s="4"/>
      <c r="Y107" s="3"/>
      <c r="Z107" s="5"/>
    </row>
    <row r="108" spans="2:26" ht="14.55" x14ac:dyDescent="0.3">
      <c r="B108" s="162">
        <v>29</v>
      </c>
      <c r="C108" s="154" t="e">
        <f>IF(C$79=#REF!,#REF!,0)</f>
        <v>#REF!</v>
      </c>
      <c r="D108" s="155" t="e">
        <f>IF(D$79=#REF!,#REF!,0)</f>
        <v>#REF!</v>
      </c>
      <c r="E108" s="155" t="e">
        <f>IF(E$79=#REF!,#REF!,0)</f>
        <v>#REF!</v>
      </c>
      <c r="F108" s="155" t="e">
        <f>IF(F$79=#REF!,#REF!,0)</f>
        <v>#REF!</v>
      </c>
      <c r="G108" s="155" t="e">
        <f>IF(G$79=#REF!,#REF!,0)</f>
        <v>#REF!</v>
      </c>
      <c r="H108" s="155" t="e">
        <f>IF(H$79=#REF!,#REF!,0)</f>
        <v>#REF!</v>
      </c>
      <c r="I108" s="155" t="e">
        <f>IF(I$79=#REF!,#REF!,0)</f>
        <v>#REF!</v>
      </c>
      <c r="J108" s="155" t="e">
        <f>IF(J$79=#REF!,#REF!,0)</f>
        <v>#REF!</v>
      </c>
      <c r="K108" s="156" t="e">
        <f>IF(K$79=#REF!,#REF!,0)</f>
        <v>#REF!</v>
      </c>
      <c r="U108" s="147"/>
      <c r="X108" s="4"/>
      <c r="Y108" s="3"/>
      <c r="Z108" s="5"/>
    </row>
    <row r="109" spans="2:26" ht="14.55" x14ac:dyDescent="0.3">
      <c r="B109" s="162">
        <v>30</v>
      </c>
      <c r="C109" s="154" t="e">
        <f>IF(C$79=#REF!,#REF!,0)</f>
        <v>#REF!</v>
      </c>
      <c r="D109" s="155" t="e">
        <f>IF(D$79=#REF!,#REF!,0)</f>
        <v>#REF!</v>
      </c>
      <c r="E109" s="155" t="e">
        <f>IF(E$79=#REF!,#REF!,0)</f>
        <v>#REF!</v>
      </c>
      <c r="F109" s="155" t="e">
        <f>IF(F$79=#REF!,#REF!,0)</f>
        <v>#REF!</v>
      </c>
      <c r="G109" s="155" t="e">
        <f>IF(G$79=#REF!,#REF!,0)</f>
        <v>#REF!</v>
      </c>
      <c r="H109" s="155" t="e">
        <f>IF(H$79=#REF!,#REF!,0)</f>
        <v>#REF!</v>
      </c>
      <c r="I109" s="155" t="e">
        <f>IF(I$79=#REF!,#REF!,0)</f>
        <v>#REF!</v>
      </c>
      <c r="J109" s="155" t="e">
        <f>IF(J$79=#REF!,#REF!,0)</f>
        <v>#REF!</v>
      </c>
      <c r="K109" s="156" t="e">
        <f>IF(K$79=#REF!,#REF!,0)</f>
        <v>#REF!</v>
      </c>
      <c r="X109" s="4"/>
      <c r="Y109" s="3"/>
      <c r="Z109" s="5"/>
    </row>
    <row r="110" spans="2:26" ht="14.55" x14ac:dyDescent="0.3">
      <c r="B110" s="162">
        <v>31</v>
      </c>
      <c r="C110" s="154" t="e">
        <f>IF(C$79=#REF!,#REF!,0)</f>
        <v>#REF!</v>
      </c>
      <c r="D110" s="155" t="e">
        <f>IF(D$79=#REF!,#REF!,0)</f>
        <v>#REF!</v>
      </c>
      <c r="E110" s="155" t="e">
        <f>IF(E$79=#REF!,#REF!,0)</f>
        <v>#REF!</v>
      </c>
      <c r="F110" s="155" t="e">
        <f>IF(F$79=#REF!,#REF!,0)</f>
        <v>#REF!</v>
      </c>
      <c r="G110" s="155" t="e">
        <f>IF(G$79=#REF!,#REF!,0)</f>
        <v>#REF!</v>
      </c>
      <c r="H110" s="155" t="e">
        <f>IF(H$79=#REF!,#REF!,0)</f>
        <v>#REF!</v>
      </c>
      <c r="I110" s="155" t="e">
        <f>IF(I$79=#REF!,#REF!,0)</f>
        <v>#REF!</v>
      </c>
      <c r="J110" s="155" t="e">
        <f>IF(J$79=#REF!,#REF!,0)</f>
        <v>#REF!</v>
      </c>
      <c r="K110" s="156" t="e">
        <f>IF(K$79=#REF!,#REF!,0)</f>
        <v>#REF!</v>
      </c>
      <c r="X110" s="4"/>
      <c r="Y110" s="3"/>
      <c r="Z110" s="5"/>
    </row>
    <row r="111" spans="2:26" ht="14.55" x14ac:dyDescent="0.3">
      <c r="B111" s="162">
        <v>32</v>
      </c>
      <c r="C111" s="154" t="e">
        <f>IF(C$79=#REF!,#REF!,0)</f>
        <v>#REF!</v>
      </c>
      <c r="D111" s="155" t="e">
        <f>IF(D$79=#REF!,#REF!,0)</f>
        <v>#REF!</v>
      </c>
      <c r="E111" s="155" t="e">
        <f>IF(E$79=#REF!,#REF!,0)</f>
        <v>#REF!</v>
      </c>
      <c r="F111" s="155" t="e">
        <f>IF(F$79=#REF!,#REF!,0)</f>
        <v>#REF!</v>
      </c>
      <c r="G111" s="155" t="e">
        <f>IF(G$79=#REF!,#REF!,0)</f>
        <v>#REF!</v>
      </c>
      <c r="H111" s="155" t="e">
        <f>IF(H$79=#REF!,#REF!,0)</f>
        <v>#REF!</v>
      </c>
      <c r="I111" s="155" t="e">
        <f>IF(I$79=#REF!,#REF!,0)</f>
        <v>#REF!</v>
      </c>
      <c r="J111" s="155" t="e">
        <f>IF(J$79=#REF!,#REF!,0)</f>
        <v>#REF!</v>
      </c>
      <c r="K111" s="156" t="e">
        <f>IF(K$79=#REF!,#REF!,0)</f>
        <v>#REF!</v>
      </c>
      <c r="X111" s="4"/>
      <c r="Y111" s="3"/>
      <c r="Z111" s="5"/>
    </row>
    <row r="112" spans="2:26" ht="14.55" x14ac:dyDescent="0.3">
      <c r="B112" s="162">
        <v>33</v>
      </c>
      <c r="C112" s="154" t="e">
        <f>IF(C$79=#REF!,#REF!,0)</f>
        <v>#REF!</v>
      </c>
      <c r="D112" s="155" t="e">
        <f>IF(D$79=#REF!,#REF!,0)</f>
        <v>#REF!</v>
      </c>
      <c r="E112" s="155" t="e">
        <f>IF(E$79=#REF!,#REF!,0)</f>
        <v>#REF!</v>
      </c>
      <c r="F112" s="155" t="e">
        <f>IF(F$79=#REF!,#REF!,0)</f>
        <v>#REF!</v>
      </c>
      <c r="G112" s="155" t="e">
        <f>IF(G$79=#REF!,#REF!,0)</f>
        <v>#REF!</v>
      </c>
      <c r="H112" s="155" t="e">
        <f>IF(H$79=#REF!,#REF!,0)</f>
        <v>#REF!</v>
      </c>
      <c r="I112" s="155" t="e">
        <f>IF(I$79=#REF!,#REF!,0)</f>
        <v>#REF!</v>
      </c>
      <c r="J112" s="155" t="e">
        <f>IF(J$79=#REF!,#REF!,0)</f>
        <v>#REF!</v>
      </c>
      <c r="K112" s="156" t="e">
        <f>IF(K$79=#REF!,#REF!,0)</f>
        <v>#REF!</v>
      </c>
      <c r="X112" s="4"/>
      <c r="Y112" s="3"/>
      <c r="Z112" s="5"/>
    </row>
    <row r="113" spans="2:26" ht="14.55" x14ac:dyDescent="0.3">
      <c r="B113" s="162">
        <v>34</v>
      </c>
      <c r="C113" s="154" t="e">
        <f>IF(C$79=#REF!,#REF!,0)</f>
        <v>#REF!</v>
      </c>
      <c r="D113" s="155" t="e">
        <f>IF(D$79=#REF!,#REF!,0)</f>
        <v>#REF!</v>
      </c>
      <c r="E113" s="155" t="e">
        <f>IF(E$79=#REF!,#REF!,0)</f>
        <v>#REF!</v>
      </c>
      <c r="F113" s="155" t="e">
        <f>IF(F$79=#REF!,#REF!,0)</f>
        <v>#REF!</v>
      </c>
      <c r="G113" s="155" t="e">
        <f>IF(G$79=#REF!,#REF!,0)</f>
        <v>#REF!</v>
      </c>
      <c r="H113" s="155" t="e">
        <f>IF(H$79=#REF!,#REF!,0)</f>
        <v>#REF!</v>
      </c>
      <c r="I113" s="155" t="e">
        <f>IF(I$79=#REF!,#REF!,0)</f>
        <v>#REF!</v>
      </c>
      <c r="J113" s="155" t="e">
        <f>IF(J$79=#REF!,#REF!,0)</f>
        <v>#REF!</v>
      </c>
      <c r="K113" s="156" t="e">
        <f>IF(K$79=#REF!,#REF!,0)</f>
        <v>#REF!</v>
      </c>
      <c r="X113" s="4"/>
      <c r="Y113" s="3"/>
      <c r="Z113" s="5"/>
    </row>
    <row r="114" spans="2:26" ht="14.55" x14ac:dyDescent="0.3">
      <c r="B114" s="162">
        <v>35</v>
      </c>
      <c r="C114" s="154" t="e">
        <f>IF(C$79=#REF!,#REF!,0)</f>
        <v>#REF!</v>
      </c>
      <c r="D114" s="155" t="e">
        <f>IF(D$79=#REF!,#REF!,0)</f>
        <v>#REF!</v>
      </c>
      <c r="E114" s="155" t="e">
        <f>IF(E$79=#REF!,#REF!,0)</f>
        <v>#REF!</v>
      </c>
      <c r="F114" s="155" t="e">
        <f>IF(F$79=#REF!,#REF!,0)</f>
        <v>#REF!</v>
      </c>
      <c r="G114" s="155" t="e">
        <f>IF(G$79=#REF!,#REF!,0)</f>
        <v>#REF!</v>
      </c>
      <c r="H114" s="155" t="e">
        <f>IF(H$79=#REF!,#REF!,0)</f>
        <v>#REF!</v>
      </c>
      <c r="I114" s="155" t="e">
        <f>IF(I$79=#REF!,#REF!,0)</f>
        <v>#REF!</v>
      </c>
      <c r="J114" s="155" t="e">
        <f>IF(J$79=#REF!,#REF!,0)</f>
        <v>#REF!</v>
      </c>
      <c r="K114" s="156" t="e">
        <f>IF(K$79=#REF!,#REF!,0)</f>
        <v>#REF!</v>
      </c>
      <c r="X114" s="4"/>
      <c r="Y114" s="3"/>
      <c r="Z114" s="5"/>
    </row>
    <row r="115" spans="2:26" ht="14.55" x14ac:dyDescent="0.3">
      <c r="B115" s="162">
        <v>36</v>
      </c>
      <c r="C115" s="154" t="e">
        <f>IF(C$79=#REF!,#REF!,0)</f>
        <v>#REF!</v>
      </c>
      <c r="D115" s="155" t="e">
        <f>IF(D$79=#REF!,#REF!,0)</f>
        <v>#REF!</v>
      </c>
      <c r="E115" s="155" t="e">
        <f>IF(E$79=#REF!,#REF!,0)</f>
        <v>#REF!</v>
      </c>
      <c r="F115" s="155" t="e">
        <f>IF(F$79=#REF!,#REF!,0)</f>
        <v>#REF!</v>
      </c>
      <c r="G115" s="155" t="e">
        <f>IF(G$79=#REF!,#REF!,0)</f>
        <v>#REF!</v>
      </c>
      <c r="H115" s="155" t="e">
        <f>IF(H$79=#REF!,#REF!,0)</f>
        <v>#REF!</v>
      </c>
      <c r="I115" s="155" t="e">
        <f>IF(I$79=#REF!,#REF!,0)</f>
        <v>#REF!</v>
      </c>
      <c r="J115" s="155" t="e">
        <f>IF(J$79=#REF!,#REF!,0)</f>
        <v>#REF!</v>
      </c>
      <c r="K115" s="156" t="e">
        <f>IF(K$79=#REF!,#REF!,0)</f>
        <v>#REF!</v>
      </c>
      <c r="X115" s="4"/>
      <c r="Y115" s="3"/>
      <c r="Z115" s="5"/>
    </row>
    <row r="116" spans="2:26" ht="14.55" x14ac:dyDescent="0.3">
      <c r="B116" s="162">
        <v>37</v>
      </c>
      <c r="C116" s="154" t="e">
        <f>IF(C$79=#REF!,#REF!,0)</f>
        <v>#REF!</v>
      </c>
      <c r="D116" s="155" t="e">
        <f>IF(D$79=#REF!,#REF!,0)</f>
        <v>#REF!</v>
      </c>
      <c r="E116" s="155" t="e">
        <f>IF(E$79=#REF!,#REF!,0)</f>
        <v>#REF!</v>
      </c>
      <c r="F116" s="155" t="e">
        <f>IF(F$79=#REF!,#REF!,0)</f>
        <v>#REF!</v>
      </c>
      <c r="G116" s="155" t="e">
        <f>IF(G$79=#REF!,#REF!,0)</f>
        <v>#REF!</v>
      </c>
      <c r="H116" s="155" t="e">
        <f>IF(H$79=#REF!,#REF!,0)</f>
        <v>#REF!</v>
      </c>
      <c r="I116" s="155" t="e">
        <f>IF(I$79=#REF!,#REF!,0)</f>
        <v>#REF!</v>
      </c>
      <c r="J116" s="155" t="e">
        <f>IF(J$79=#REF!,#REF!,0)</f>
        <v>#REF!</v>
      </c>
      <c r="K116" s="156" t="e">
        <f>IF(K$79=#REF!,#REF!,0)</f>
        <v>#REF!</v>
      </c>
      <c r="X116" s="4"/>
      <c r="Y116" s="3"/>
      <c r="Z116" s="5"/>
    </row>
    <row r="117" spans="2:26" ht="14.55" x14ac:dyDescent="0.3">
      <c r="B117" s="162">
        <v>38</v>
      </c>
      <c r="C117" s="154" t="e">
        <f>IF(C$79=#REF!,#REF!,0)</f>
        <v>#REF!</v>
      </c>
      <c r="D117" s="155" t="e">
        <f>IF(D$79=#REF!,#REF!,0)</f>
        <v>#REF!</v>
      </c>
      <c r="E117" s="155" t="e">
        <f>IF(E$79=#REF!,#REF!,0)</f>
        <v>#REF!</v>
      </c>
      <c r="F117" s="155" t="e">
        <f>IF(F$79=#REF!,#REF!,0)</f>
        <v>#REF!</v>
      </c>
      <c r="G117" s="155" t="e">
        <f>IF(G$79=#REF!,#REF!,0)</f>
        <v>#REF!</v>
      </c>
      <c r="H117" s="155" t="e">
        <f>IF(H$79=#REF!,#REF!,0)</f>
        <v>#REF!</v>
      </c>
      <c r="I117" s="155" t="e">
        <f>IF(I$79=#REF!,#REF!,0)</f>
        <v>#REF!</v>
      </c>
      <c r="J117" s="155" t="e">
        <f>IF(J$79=#REF!,#REF!,0)</f>
        <v>#REF!</v>
      </c>
      <c r="K117" s="156" t="e">
        <f>IF(K$79=#REF!,#REF!,0)</f>
        <v>#REF!</v>
      </c>
      <c r="X117" s="4"/>
      <c r="Y117" s="3"/>
      <c r="Z117" s="5"/>
    </row>
    <row r="118" spans="2:26" ht="14.55" x14ac:dyDescent="0.3">
      <c r="B118" s="162">
        <v>39</v>
      </c>
      <c r="C118" s="154" t="e">
        <f>IF(C$79=#REF!,#REF!,0)</f>
        <v>#REF!</v>
      </c>
      <c r="D118" s="155" t="e">
        <f>IF(D$79=#REF!,#REF!,0)</f>
        <v>#REF!</v>
      </c>
      <c r="E118" s="155" t="e">
        <f>IF(E$79=#REF!,#REF!,0)</f>
        <v>#REF!</v>
      </c>
      <c r="F118" s="155" t="e">
        <f>IF(F$79=#REF!,#REF!,0)</f>
        <v>#REF!</v>
      </c>
      <c r="G118" s="155" t="e">
        <f>IF(G$79=#REF!,#REF!,0)</f>
        <v>#REF!</v>
      </c>
      <c r="H118" s="155" t="e">
        <f>IF(H$79=#REF!,#REF!,0)</f>
        <v>#REF!</v>
      </c>
      <c r="I118" s="155" t="e">
        <f>IF(I$79=#REF!,#REF!,0)</f>
        <v>#REF!</v>
      </c>
      <c r="J118" s="155" t="e">
        <f>IF(J$79=#REF!,#REF!,0)</f>
        <v>#REF!</v>
      </c>
      <c r="K118" s="156" t="e">
        <f>IF(K$79=#REF!,#REF!,0)</f>
        <v>#REF!</v>
      </c>
      <c r="X118" s="4"/>
      <c r="Y118" s="3"/>
      <c r="Z118" s="5"/>
    </row>
    <row r="119" spans="2:26" ht="14.55" x14ac:dyDescent="0.3">
      <c r="B119" s="162">
        <v>40</v>
      </c>
      <c r="C119" s="154" t="e">
        <f>IF(C$79=#REF!,#REF!,0)</f>
        <v>#REF!</v>
      </c>
      <c r="D119" s="155" t="e">
        <f>IF(D$79=#REF!,#REF!,0)</f>
        <v>#REF!</v>
      </c>
      <c r="E119" s="155" t="e">
        <f>IF(E$79=#REF!,#REF!,0)</f>
        <v>#REF!</v>
      </c>
      <c r="F119" s="155" t="e">
        <f>IF(F$79=#REF!,#REF!,0)</f>
        <v>#REF!</v>
      </c>
      <c r="G119" s="155" t="e">
        <f>IF(G$79=#REF!,#REF!,0)</f>
        <v>#REF!</v>
      </c>
      <c r="H119" s="155" t="e">
        <f>IF(H$79=#REF!,#REF!,0)</f>
        <v>#REF!</v>
      </c>
      <c r="I119" s="155" t="e">
        <f>IF(I$79=#REF!,#REF!,0)</f>
        <v>#REF!</v>
      </c>
      <c r="J119" s="155" t="e">
        <f>IF(J$79=#REF!,#REF!,0)</f>
        <v>#REF!</v>
      </c>
      <c r="K119" s="156" t="e">
        <f>IF(K$79=#REF!,#REF!,0)</f>
        <v>#REF!</v>
      </c>
      <c r="X119" s="4"/>
      <c r="Y119" s="3"/>
      <c r="Z119" s="5"/>
    </row>
    <row r="120" spans="2:26" ht="14.55" x14ac:dyDescent="0.3">
      <c r="B120" s="162">
        <v>41</v>
      </c>
      <c r="C120" s="154" t="e">
        <f>IF(C$79=#REF!,#REF!,0)</f>
        <v>#REF!</v>
      </c>
      <c r="D120" s="155" t="e">
        <f>IF(D$79=#REF!,#REF!,0)</f>
        <v>#REF!</v>
      </c>
      <c r="E120" s="155" t="e">
        <f>IF(E$79=#REF!,#REF!,0)</f>
        <v>#REF!</v>
      </c>
      <c r="F120" s="155" t="e">
        <f>IF(F$79=#REF!,#REF!,0)</f>
        <v>#REF!</v>
      </c>
      <c r="G120" s="155" t="e">
        <f>IF(G$79=#REF!,#REF!,0)</f>
        <v>#REF!</v>
      </c>
      <c r="H120" s="155" t="e">
        <f>IF(H$79=#REF!,#REF!,0)</f>
        <v>#REF!</v>
      </c>
      <c r="I120" s="155" t="e">
        <f>IF(I$79=#REF!,#REF!,0)</f>
        <v>#REF!</v>
      </c>
      <c r="J120" s="155" t="e">
        <f>IF(J$79=#REF!,#REF!,0)</f>
        <v>#REF!</v>
      </c>
      <c r="K120" s="156" t="e">
        <f>IF(K$79=#REF!,#REF!,0)</f>
        <v>#REF!</v>
      </c>
      <c r="X120" s="4"/>
      <c r="Y120" s="3"/>
      <c r="Z120" s="5"/>
    </row>
    <row r="121" spans="2:26" ht="14.55" x14ac:dyDescent="0.3">
      <c r="B121" s="162">
        <v>42</v>
      </c>
      <c r="C121" s="154" t="e">
        <f>IF(C$79=#REF!,#REF!,0)</f>
        <v>#REF!</v>
      </c>
      <c r="D121" s="155" t="e">
        <f>IF(D$79=#REF!,#REF!,0)</f>
        <v>#REF!</v>
      </c>
      <c r="E121" s="155" t="e">
        <f>IF(E$79=#REF!,#REF!,0)</f>
        <v>#REF!</v>
      </c>
      <c r="F121" s="155" t="e">
        <f>IF(F$79=#REF!,#REF!,0)</f>
        <v>#REF!</v>
      </c>
      <c r="G121" s="155" t="e">
        <f>IF(G$79=#REF!,#REF!,0)</f>
        <v>#REF!</v>
      </c>
      <c r="H121" s="155" t="e">
        <f>IF(H$79=#REF!,#REF!,0)</f>
        <v>#REF!</v>
      </c>
      <c r="I121" s="155" t="e">
        <f>IF(I$79=#REF!,#REF!,0)</f>
        <v>#REF!</v>
      </c>
      <c r="J121" s="155" t="e">
        <f>IF(J$79=#REF!,#REF!,0)</f>
        <v>#REF!</v>
      </c>
      <c r="K121" s="156" t="e">
        <f>IF(K$79=#REF!,#REF!,0)</f>
        <v>#REF!</v>
      </c>
      <c r="X121" s="4"/>
      <c r="Y121" s="3"/>
      <c r="Z121" s="5"/>
    </row>
    <row r="122" spans="2:26" ht="14.55" x14ac:dyDescent="0.3">
      <c r="B122" s="162">
        <v>43</v>
      </c>
      <c r="C122" s="154" t="e">
        <f>IF(C$79=#REF!,#REF!,0)</f>
        <v>#REF!</v>
      </c>
      <c r="D122" s="155" t="e">
        <f>IF(D$79=#REF!,#REF!,0)</f>
        <v>#REF!</v>
      </c>
      <c r="E122" s="155" t="e">
        <f>IF(E$79=#REF!,#REF!,0)</f>
        <v>#REF!</v>
      </c>
      <c r="F122" s="155" t="e">
        <f>IF(F$79=#REF!,#REF!,0)</f>
        <v>#REF!</v>
      </c>
      <c r="G122" s="155" t="e">
        <f>IF(G$79=#REF!,#REF!,0)</f>
        <v>#REF!</v>
      </c>
      <c r="H122" s="155" t="e">
        <f>IF(H$79=#REF!,#REF!,0)</f>
        <v>#REF!</v>
      </c>
      <c r="I122" s="155" t="e">
        <f>IF(I$79=#REF!,#REF!,0)</f>
        <v>#REF!</v>
      </c>
      <c r="J122" s="155" t="e">
        <f>IF(J$79=#REF!,#REF!,0)</f>
        <v>#REF!</v>
      </c>
      <c r="K122" s="156" t="e">
        <f>IF(K$79=#REF!,#REF!,0)</f>
        <v>#REF!</v>
      </c>
      <c r="X122" s="4"/>
      <c r="Y122" s="3"/>
      <c r="Z122" s="5"/>
    </row>
    <row r="123" spans="2:26" ht="14.55" x14ac:dyDescent="0.3">
      <c r="B123" s="162">
        <v>44</v>
      </c>
      <c r="C123" s="154" t="e">
        <f>IF(C$79=#REF!,#REF!,0)</f>
        <v>#REF!</v>
      </c>
      <c r="D123" s="155" t="e">
        <f>IF(D$79=#REF!,#REF!,0)</f>
        <v>#REF!</v>
      </c>
      <c r="E123" s="155" t="e">
        <f>IF(E$79=#REF!,#REF!,0)</f>
        <v>#REF!</v>
      </c>
      <c r="F123" s="155" t="e">
        <f>IF(F$79=#REF!,#REF!,0)</f>
        <v>#REF!</v>
      </c>
      <c r="G123" s="155" t="e">
        <f>IF(G$79=#REF!,#REF!,0)</f>
        <v>#REF!</v>
      </c>
      <c r="H123" s="155" t="e">
        <f>IF(H$79=#REF!,#REF!,0)</f>
        <v>#REF!</v>
      </c>
      <c r="I123" s="155" t="e">
        <f>IF(I$79=#REF!,#REF!,0)</f>
        <v>#REF!</v>
      </c>
      <c r="J123" s="155" t="e">
        <f>IF(J$79=#REF!,#REF!,0)</f>
        <v>#REF!</v>
      </c>
      <c r="K123" s="156" t="e">
        <f>IF(K$79=#REF!,#REF!,0)</f>
        <v>#REF!</v>
      </c>
      <c r="X123" s="4"/>
      <c r="Y123" s="3"/>
      <c r="Z123" s="5"/>
    </row>
    <row r="124" spans="2:26" ht="14.55" x14ac:dyDescent="0.3">
      <c r="B124" s="162">
        <v>45</v>
      </c>
      <c r="C124" s="154" t="e">
        <f>IF(C$79=#REF!,#REF!,0)</f>
        <v>#REF!</v>
      </c>
      <c r="D124" s="155" t="e">
        <f>IF(D$79=#REF!,#REF!,0)</f>
        <v>#REF!</v>
      </c>
      <c r="E124" s="155" t="e">
        <f>IF(E$79=#REF!,#REF!,0)</f>
        <v>#REF!</v>
      </c>
      <c r="F124" s="155" t="e">
        <f>IF(F$79=#REF!,#REF!,0)</f>
        <v>#REF!</v>
      </c>
      <c r="G124" s="155" t="e">
        <f>IF(G$79=#REF!,#REF!,0)</f>
        <v>#REF!</v>
      </c>
      <c r="H124" s="155" t="e">
        <f>IF(H$79=#REF!,#REF!,0)</f>
        <v>#REF!</v>
      </c>
      <c r="I124" s="155" t="e">
        <f>IF(I$79=#REF!,#REF!,0)</f>
        <v>#REF!</v>
      </c>
      <c r="J124" s="155" t="e">
        <f>IF(J$79=#REF!,#REF!,0)</f>
        <v>#REF!</v>
      </c>
      <c r="K124" s="156" t="e">
        <f>IF(K$79=#REF!,#REF!,0)</f>
        <v>#REF!</v>
      </c>
      <c r="X124" s="4"/>
      <c r="Y124" s="3"/>
      <c r="Z124" s="5"/>
    </row>
    <row r="125" spans="2:26" ht="14.55" x14ac:dyDescent="0.3">
      <c r="B125" s="162">
        <v>46</v>
      </c>
      <c r="C125" s="154" t="e">
        <f>IF(C$79=#REF!,#REF!,0)</f>
        <v>#REF!</v>
      </c>
      <c r="D125" s="155" t="e">
        <f>IF(D$79=#REF!,#REF!,0)</f>
        <v>#REF!</v>
      </c>
      <c r="E125" s="155" t="e">
        <f>IF(E$79=#REF!,#REF!,0)</f>
        <v>#REF!</v>
      </c>
      <c r="F125" s="155" t="e">
        <f>IF(F$79=#REF!,#REF!,0)</f>
        <v>#REF!</v>
      </c>
      <c r="G125" s="155" t="e">
        <f>IF(G$79=#REF!,#REF!,0)</f>
        <v>#REF!</v>
      </c>
      <c r="H125" s="155" t="e">
        <f>IF(H$79=#REF!,#REF!,0)</f>
        <v>#REF!</v>
      </c>
      <c r="I125" s="155" t="e">
        <f>IF(I$79=#REF!,#REF!,0)</f>
        <v>#REF!</v>
      </c>
      <c r="J125" s="155" t="e">
        <f>IF(J$79=#REF!,#REF!,0)</f>
        <v>#REF!</v>
      </c>
      <c r="K125" s="156" t="e">
        <f>IF(K$79=#REF!,#REF!,0)</f>
        <v>#REF!</v>
      </c>
      <c r="X125" s="4"/>
      <c r="Y125" s="3"/>
      <c r="Z125" s="5"/>
    </row>
    <row r="126" spans="2:26" ht="14.55" x14ac:dyDescent="0.3">
      <c r="B126" s="162">
        <v>47</v>
      </c>
      <c r="C126" s="154" t="e">
        <f>IF(C$79=#REF!,#REF!,0)</f>
        <v>#REF!</v>
      </c>
      <c r="D126" s="155" t="e">
        <f>IF(D$79=#REF!,#REF!,0)</f>
        <v>#REF!</v>
      </c>
      <c r="E126" s="155" t="e">
        <f>IF(E$79=#REF!,#REF!,0)</f>
        <v>#REF!</v>
      </c>
      <c r="F126" s="155" t="e">
        <f>IF(F$79=#REF!,#REF!,0)</f>
        <v>#REF!</v>
      </c>
      <c r="G126" s="155" t="e">
        <f>IF(G$79=#REF!,#REF!,0)</f>
        <v>#REF!</v>
      </c>
      <c r="H126" s="155" t="e">
        <f>IF(H$79=#REF!,#REF!,0)</f>
        <v>#REF!</v>
      </c>
      <c r="I126" s="155" t="e">
        <f>IF(I$79=#REF!,#REF!,0)</f>
        <v>#REF!</v>
      </c>
      <c r="J126" s="155" t="e">
        <f>IF(J$79=#REF!,#REF!,0)</f>
        <v>#REF!</v>
      </c>
      <c r="K126" s="156" t="e">
        <f>IF(K$79=#REF!,#REF!,0)</f>
        <v>#REF!</v>
      </c>
      <c r="X126" s="4"/>
      <c r="Y126" s="3"/>
      <c r="Z126" s="5"/>
    </row>
    <row r="127" spans="2:26" ht="14.55" x14ac:dyDescent="0.3">
      <c r="B127" s="162">
        <v>48</v>
      </c>
      <c r="C127" s="154" t="e">
        <f>IF(C$79=#REF!,#REF!,0)</f>
        <v>#REF!</v>
      </c>
      <c r="D127" s="155" t="e">
        <f>IF(D$79=#REF!,#REF!,0)</f>
        <v>#REF!</v>
      </c>
      <c r="E127" s="155" t="e">
        <f>IF(E$79=#REF!,#REF!,0)</f>
        <v>#REF!</v>
      </c>
      <c r="F127" s="155" t="e">
        <f>IF(F$79=#REF!,#REF!,0)</f>
        <v>#REF!</v>
      </c>
      <c r="G127" s="155" t="e">
        <f>IF(G$79=#REF!,#REF!,0)</f>
        <v>#REF!</v>
      </c>
      <c r="H127" s="155" t="e">
        <f>IF(H$79=#REF!,#REF!,0)</f>
        <v>#REF!</v>
      </c>
      <c r="I127" s="155" t="e">
        <f>IF(I$79=#REF!,#REF!,0)</f>
        <v>#REF!</v>
      </c>
      <c r="J127" s="155" t="e">
        <f>IF(J$79=#REF!,#REF!,0)</f>
        <v>#REF!</v>
      </c>
      <c r="K127" s="156" t="e">
        <f>IF(K$79=#REF!,#REF!,0)</f>
        <v>#REF!</v>
      </c>
      <c r="X127" s="4"/>
      <c r="Y127" s="3"/>
      <c r="Z127" s="5"/>
    </row>
    <row r="128" spans="2:26" ht="14.55" x14ac:dyDescent="0.3">
      <c r="B128" s="162">
        <v>49</v>
      </c>
      <c r="C128" s="154" t="e">
        <f>IF(C$79=#REF!,#REF!,0)</f>
        <v>#REF!</v>
      </c>
      <c r="D128" s="155" t="e">
        <f>IF(D$79=#REF!,#REF!,0)</f>
        <v>#REF!</v>
      </c>
      <c r="E128" s="155" t="e">
        <f>IF(E$79=#REF!,#REF!,0)</f>
        <v>#REF!</v>
      </c>
      <c r="F128" s="155" t="e">
        <f>IF(F$79=#REF!,#REF!,0)</f>
        <v>#REF!</v>
      </c>
      <c r="G128" s="155" t="e">
        <f>IF(G$79=#REF!,#REF!,0)</f>
        <v>#REF!</v>
      </c>
      <c r="H128" s="155" t="e">
        <f>IF(H$79=#REF!,#REF!,0)</f>
        <v>#REF!</v>
      </c>
      <c r="I128" s="155" t="e">
        <f>IF(I$79=#REF!,#REF!,0)</f>
        <v>#REF!</v>
      </c>
      <c r="J128" s="155" t="e">
        <f>IF(J$79=#REF!,#REF!,0)</f>
        <v>#REF!</v>
      </c>
      <c r="K128" s="156" t="e">
        <f>IF(K$79=#REF!,#REF!,0)</f>
        <v>#REF!</v>
      </c>
      <c r="X128" s="4"/>
      <c r="Y128" s="3"/>
      <c r="Z128" s="5"/>
    </row>
    <row r="129" spans="2:26" ht="14.55" x14ac:dyDescent="0.3">
      <c r="B129" s="162">
        <v>50</v>
      </c>
      <c r="C129" s="154" t="e">
        <f>IF(C$79=#REF!,#REF!,0)</f>
        <v>#REF!</v>
      </c>
      <c r="D129" s="155" t="e">
        <f>IF(D$79=#REF!,#REF!,0)</f>
        <v>#REF!</v>
      </c>
      <c r="E129" s="155" t="e">
        <f>IF(E$79=#REF!,#REF!,0)</f>
        <v>#REF!</v>
      </c>
      <c r="F129" s="155" t="e">
        <f>IF(F$79=#REF!,#REF!,0)</f>
        <v>#REF!</v>
      </c>
      <c r="G129" s="155" t="e">
        <f>IF(G$79=#REF!,#REF!,0)</f>
        <v>#REF!</v>
      </c>
      <c r="H129" s="155" t="e">
        <f>IF(H$79=#REF!,#REF!,0)</f>
        <v>#REF!</v>
      </c>
      <c r="I129" s="155" t="e">
        <f>IF(I$79=#REF!,#REF!,0)</f>
        <v>#REF!</v>
      </c>
      <c r="J129" s="155" t="e">
        <f>IF(J$79=#REF!,#REF!,0)</f>
        <v>#REF!</v>
      </c>
      <c r="K129" s="156" t="e">
        <f>IF(K$79=#REF!,#REF!,0)</f>
        <v>#REF!</v>
      </c>
      <c r="X129" s="4"/>
      <c r="Y129" s="3"/>
      <c r="Z129" s="5"/>
    </row>
    <row r="130" spans="2:26" ht="14.55" x14ac:dyDescent="0.3">
      <c r="B130" s="162">
        <v>51</v>
      </c>
      <c r="C130" s="154" t="e">
        <f>IF(C$79=#REF!,#REF!,0)</f>
        <v>#REF!</v>
      </c>
      <c r="D130" s="155" t="e">
        <f>IF(D$79=#REF!,#REF!,0)</f>
        <v>#REF!</v>
      </c>
      <c r="E130" s="155" t="e">
        <f>IF(E$79=#REF!,#REF!,0)</f>
        <v>#REF!</v>
      </c>
      <c r="F130" s="155" t="e">
        <f>IF(F$79=#REF!,#REF!,0)</f>
        <v>#REF!</v>
      </c>
      <c r="G130" s="155" t="e">
        <f>IF(G$79=#REF!,#REF!,0)</f>
        <v>#REF!</v>
      </c>
      <c r="H130" s="155" t="e">
        <f>IF(H$79=#REF!,#REF!,0)</f>
        <v>#REF!</v>
      </c>
      <c r="I130" s="155" t="e">
        <f>IF(I$79=#REF!,#REF!,0)</f>
        <v>#REF!</v>
      </c>
      <c r="J130" s="155" t="e">
        <f>IF(J$79=#REF!,#REF!,0)</f>
        <v>#REF!</v>
      </c>
      <c r="K130" s="156" t="e">
        <f>IF(K$79=#REF!,#REF!,0)</f>
        <v>#REF!</v>
      </c>
      <c r="X130" s="4"/>
      <c r="Y130" s="3"/>
      <c r="Z130" s="5"/>
    </row>
    <row r="131" spans="2:26" ht="14.55" x14ac:dyDescent="0.3">
      <c r="B131" s="162">
        <v>52</v>
      </c>
      <c r="C131" s="154" t="e">
        <f>IF(C$79=#REF!,#REF!,0)</f>
        <v>#REF!</v>
      </c>
      <c r="D131" s="155" t="e">
        <f>IF(D$79=#REF!,#REF!,0)</f>
        <v>#REF!</v>
      </c>
      <c r="E131" s="155" t="e">
        <f>IF(E$79=#REF!,#REF!,0)</f>
        <v>#REF!</v>
      </c>
      <c r="F131" s="155" t="e">
        <f>IF(F$79=#REF!,#REF!,0)</f>
        <v>#REF!</v>
      </c>
      <c r="G131" s="155" t="e">
        <f>IF(G$79=#REF!,#REF!,0)</f>
        <v>#REF!</v>
      </c>
      <c r="H131" s="155" t="e">
        <f>IF(H$79=#REF!,#REF!,0)</f>
        <v>#REF!</v>
      </c>
      <c r="I131" s="155" t="e">
        <f>IF(I$79=#REF!,#REF!,0)</f>
        <v>#REF!</v>
      </c>
      <c r="J131" s="155" t="e">
        <f>IF(J$79=#REF!,#REF!,0)</f>
        <v>#REF!</v>
      </c>
      <c r="K131" s="156" t="e">
        <f>IF(K$79=#REF!,#REF!,0)</f>
        <v>#REF!</v>
      </c>
      <c r="X131" s="4"/>
      <c r="Y131" s="3"/>
      <c r="Z131" s="5"/>
    </row>
    <row r="132" spans="2:26" ht="14.55" x14ac:dyDescent="0.3">
      <c r="B132" s="162">
        <v>53</v>
      </c>
      <c r="C132" s="154" t="e">
        <f>IF(C$79=#REF!,#REF!,0)</f>
        <v>#REF!</v>
      </c>
      <c r="D132" s="155" t="e">
        <f>IF(D$79=#REF!,#REF!,0)</f>
        <v>#REF!</v>
      </c>
      <c r="E132" s="155" t="e">
        <f>IF(E$79=#REF!,#REF!,0)</f>
        <v>#REF!</v>
      </c>
      <c r="F132" s="155" t="e">
        <f>IF(F$79=#REF!,#REF!,0)</f>
        <v>#REF!</v>
      </c>
      <c r="G132" s="155" t="e">
        <f>IF(G$79=#REF!,#REF!,0)</f>
        <v>#REF!</v>
      </c>
      <c r="H132" s="155" t="e">
        <f>IF(H$79=#REF!,#REF!,0)</f>
        <v>#REF!</v>
      </c>
      <c r="I132" s="155" t="e">
        <f>IF(I$79=#REF!,#REF!,0)</f>
        <v>#REF!</v>
      </c>
      <c r="J132" s="155" t="e">
        <f>IF(J$79=#REF!,#REF!,0)</f>
        <v>#REF!</v>
      </c>
      <c r="K132" s="156" t="e">
        <f>IF(K$79=#REF!,#REF!,0)</f>
        <v>#REF!</v>
      </c>
      <c r="X132" s="4"/>
      <c r="Y132" s="3"/>
      <c r="Z132" s="5"/>
    </row>
    <row r="133" spans="2:26" ht="14.55" x14ac:dyDescent="0.3">
      <c r="B133" s="162">
        <v>54</v>
      </c>
      <c r="C133" s="154" t="e">
        <f>IF(C$79=#REF!,#REF!,0)</f>
        <v>#REF!</v>
      </c>
      <c r="D133" s="155" t="e">
        <f>IF(D$79=#REF!,#REF!,0)</f>
        <v>#REF!</v>
      </c>
      <c r="E133" s="155" t="e">
        <f>IF(E$79=#REF!,#REF!,0)</f>
        <v>#REF!</v>
      </c>
      <c r="F133" s="155" t="e">
        <f>IF(F$79=#REF!,#REF!,0)</f>
        <v>#REF!</v>
      </c>
      <c r="G133" s="155" t="e">
        <f>IF(G$79=#REF!,#REF!,0)</f>
        <v>#REF!</v>
      </c>
      <c r="H133" s="155" t="e">
        <f>IF(H$79=#REF!,#REF!,0)</f>
        <v>#REF!</v>
      </c>
      <c r="I133" s="155" t="e">
        <f>IF(I$79=#REF!,#REF!,0)</f>
        <v>#REF!</v>
      </c>
      <c r="J133" s="155" t="e">
        <f>IF(J$79=#REF!,#REF!,0)</f>
        <v>#REF!</v>
      </c>
      <c r="K133" s="156" t="e">
        <f>IF(K$79=#REF!,#REF!,0)</f>
        <v>#REF!</v>
      </c>
      <c r="X133" s="4"/>
      <c r="Y133" s="3"/>
      <c r="Z133" s="5"/>
    </row>
    <row r="134" spans="2:26" ht="14.55" x14ac:dyDescent="0.3">
      <c r="B134" s="162">
        <v>55</v>
      </c>
      <c r="C134" s="154" t="e">
        <f>IF(C$79=#REF!,#REF!,0)</f>
        <v>#REF!</v>
      </c>
      <c r="D134" s="155" t="e">
        <f>IF(D$79=#REF!,#REF!,0)</f>
        <v>#REF!</v>
      </c>
      <c r="E134" s="155" t="e">
        <f>IF(E$79=#REF!,#REF!,0)</f>
        <v>#REF!</v>
      </c>
      <c r="F134" s="155" t="e">
        <f>IF(F$79=#REF!,#REF!,0)</f>
        <v>#REF!</v>
      </c>
      <c r="G134" s="155" t="e">
        <f>IF(G$79=#REF!,#REF!,0)</f>
        <v>#REF!</v>
      </c>
      <c r="H134" s="155" t="e">
        <f>IF(H$79=#REF!,#REF!,0)</f>
        <v>#REF!</v>
      </c>
      <c r="I134" s="155" t="e">
        <f>IF(I$79=#REF!,#REF!,0)</f>
        <v>#REF!</v>
      </c>
      <c r="J134" s="155" t="e">
        <f>IF(J$79=#REF!,#REF!,0)</f>
        <v>#REF!</v>
      </c>
      <c r="K134" s="156" t="e">
        <f>IF(K$79=#REF!,#REF!,0)</f>
        <v>#REF!</v>
      </c>
      <c r="X134" s="4"/>
      <c r="Y134" s="3"/>
      <c r="Z134" s="5"/>
    </row>
    <row r="135" spans="2:26" ht="14.55" x14ac:dyDescent="0.3">
      <c r="B135" s="162">
        <v>56</v>
      </c>
      <c r="C135" s="154" t="e">
        <f>IF(C$79=#REF!,#REF!,0)</f>
        <v>#REF!</v>
      </c>
      <c r="D135" s="155" t="e">
        <f>IF(D$79=#REF!,#REF!,0)</f>
        <v>#REF!</v>
      </c>
      <c r="E135" s="155" t="e">
        <f>IF(E$79=#REF!,#REF!,0)</f>
        <v>#REF!</v>
      </c>
      <c r="F135" s="155" t="e">
        <f>IF(F$79=#REF!,#REF!,0)</f>
        <v>#REF!</v>
      </c>
      <c r="G135" s="155" t="e">
        <f>IF(G$79=#REF!,#REF!,0)</f>
        <v>#REF!</v>
      </c>
      <c r="H135" s="155" t="e">
        <f>IF(H$79=#REF!,#REF!,0)</f>
        <v>#REF!</v>
      </c>
      <c r="I135" s="155" t="e">
        <f>IF(I$79=#REF!,#REF!,0)</f>
        <v>#REF!</v>
      </c>
      <c r="J135" s="155" t="e">
        <f>IF(J$79=#REF!,#REF!,0)</f>
        <v>#REF!</v>
      </c>
      <c r="K135" s="156" t="e">
        <f>IF(K$79=#REF!,#REF!,0)</f>
        <v>#REF!</v>
      </c>
      <c r="X135" s="4"/>
      <c r="Y135" s="3"/>
      <c r="Z135" s="5"/>
    </row>
    <row r="136" spans="2:26" ht="14.55" x14ac:dyDescent="0.3">
      <c r="B136" s="162">
        <v>57</v>
      </c>
      <c r="C136" s="154" t="e">
        <f>IF(C$79=#REF!,#REF!,0)</f>
        <v>#REF!</v>
      </c>
      <c r="D136" s="155" t="e">
        <f>IF(D$79=#REF!,#REF!,0)</f>
        <v>#REF!</v>
      </c>
      <c r="E136" s="155" t="e">
        <f>IF(E$79=#REF!,#REF!,0)</f>
        <v>#REF!</v>
      </c>
      <c r="F136" s="155" t="e">
        <f>IF(F$79=#REF!,#REF!,0)</f>
        <v>#REF!</v>
      </c>
      <c r="G136" s="155" t="e">
        <f>IF(G$79=#REF!,#REF!,0)</f>
        <v>#REF!</v>
      </c>
      <c r="H136" s="155" t="e">
        <f>IF(H$79=#REF!,#REF!,0)</f>
        <v>#REF!</v>
      </c>
      <c r="I136" s="155" t="e">
        <f>IF(I$79=#REF!,#REF!,0)</f>
        <v>#REF!</v>
      </c>
      <c r="J136" s="155" t="e">
        <f>IF(J$79=#REF!,#REF!,0)</f>
        <v>#REF!</v>
      </c>
      <c r="K136" s="156" t="e">
        <f>IF(K$79=#REF!,#REF!,0)</f>
        <v>#REF!</v>
      </c>
      <c r="X136" s="4"/>
      <c r="Y136" s="3"/>
      <c r="Z136" s="5"/>
    </row>
    <row r="137" spans="2:26" ht="14.55" x14ac:dyDescent="0.3">
      <c r="B137" s="162">
        <v>59</v>
      </c>
      <c r="C137" s="154" t="e">
        <f>IF(C$79=#REF!,#REF!,0)</f>
        <v>#REF!</v>
      </c>
      <c r="D137" s="155" t="e">
        <f>IF(D$79=#REF!,#REF!,0)</f>
        <v>#REF!</v>
      </c>
      <c r="E137" s="155" t="e">
        <f>IF(E$79=#REF!,#REF!,0)</f>
        <v>#REF!</v>
      </c>
      <c r="F137" s="155" t="e">
        <f>IF(F$79=#REF!,#REF!,0)</f>
        <v>#REF!</v>
      </c>
      <c r="G137" s="155" t="e">
        <f>IF(G$79=#REF!,#REF!,0)</f>
        <v>#REF!</v>
      </c>
      <c r="H137" s="155" t="e">
        <f>IF(H$79=#REF!,#REF!,0)</f>
        <v>#REF!</v>
      </c>
      <c r="I137" s="155" t="e">
        <f>IF(I$79=#REF!,#REF!,0)</f>
        <v>#REF!</v>
      </c>
      <c r="J137" s="155" t="e">
        <f>IF(J$79=#REF!,#REF!,0)</f>
        <v>#REF!</v>
      </c>
      <c r="K137" s="156" t="e">
        <f>IF(K$79=#REF!,#REF!,0)</f>
        <v>#REF!</v>
      </c>
      <c r="X137" s="4"/>
      <c r="Y137" s="3"/>
      <c r="Z137" s="5"/>
    </row>
    <row r="138" spans="2:26" ht="14.55" x14ac:dyDescent="0.3">
      <c r="B138" s="162">
        <v>60</v>
      </c>
      <c r="C138" s="154" t="e">
        <f>IF(C$79=#REF!,#REF!,0)</f>
        <v>#REF!</v>
      </c>
      <c r="D138" s="155" t="e">
        <f>IF(D$79=#REF!,#REF!,0)</f>
        <v>#REF!</v>
      </c>
      <c r="E138" s="155" t="e">
        <f>IF(E$79=#REF!,#REF!,0)</f>
        <v>#REF!</v>
      </c>
      <c r="F138" s="155" t="e">
        <f>IF(F$79=#REF!,#REF!,0)</f>
        <v>#REF!</v>
      </c>
      <c r="G138" s="155" t="e">
        <f>IF(G$79=#REF!,#REF!,0)</f>
        <v>#REF!</v>
      </c>
      <c r="H138" s="155" t="e">
        <f>IF(H$79=#REF!,#REF!,0)</f>
        <v>#REF!</v>
      </c>
      <c r="I138" s="155" t="e">
        <f>IF(I$79=#REF!,#REF!,0)</f>
        <v>#REF!</v>
      </c>
      <c r="J138" s="155" t="e">
        <f>IF(J$79=#REF!,#REF!,0)</f>
        <v>#REF!</v>
      </c>
      <c r="K138" s="156" t="e">
        <f>IF(K$79=#REF!,#REF!,0)</f>
        <v>#REF!</v>
      </c>
      <c r="X138" s="4"/>
      <c r="Y138" s="3"/>
      <c r="Z138" s="5"/>
    </row>
    <row r="139" spans="2:26" ht="14.55" x14ac:dyDescent="0.3">
      <c r="B139" s="162">
        <v>61</v>
      </c>
      <c r="C139" s="154" t="e">
        <f>IF(C$79=#REF!,#REF!,0)</f>
        <v>#REF!</v>
      </c>
      <c r="D139" s="155" t="e">
        <f>IF(D$79=#REF!,#REF!,0)</f>
        <v>#REF!</v>
      </c>
      <c r="E139" s="155" t="e">
        <f>IF(E$79=#REF!,#REF!,0)</f>
        <v>#REF!</v>
      </c>
      <c r="F139" s="155" t="e">
        <f>IF(F$79=#REF!,#REF!,0)</f>
        <v>#REF!</v>
      </c>
      <c r="G139" s="155" t="e">
        <f>IF(G$79=#REF!,#REF!,0)</f>
        <v>#REF!</v>
      </c>
      <c r="H139" s="155" t="e">
        <f>IF(H$79=#REF!,#REF!,0)</f>
        <v>#REF!</v>
      </c>
      <c r="I139" s="155" t="e">
        <f>IF(I$79=#REF!,#REF!,0)</f>
        <v>#REF!</v>
      </c>
      <c r="J139" s="155" t="e">
        <f>IF(J$79=#REF!,#REF!,0)</f>
        <v>#REF!</v>
      </c>
      <c r="K139" s="156" t="e">
        <f>IF(K$79=#REF!,#REF!,0)</f>
        <v>#REF!</v>
      </c>
      <c r="X139" s="4"/>
      <c r="Y139" s="3"/>
      <c r="Z139" s="5"/>
    </row>
    <row r="140" spans="2:26" ht="14.55" x14ac:dyDescent="0.3">
      <c r="B140" s="162">
        <v>62</v>
      </c>
      <c r="C140" s="154" t="e">
        <f>IF(C$79=#REF!,#REF!,0)</f>
        <v>#REF!</v>
      </c>
      <c r="D140" s="155" t="e">
        <f>IF(D$79=#REF!,#REF!,0)</f>
        <v>#REF!</v>
      </c>
      <c r="E140" s="155" t="e">
        <f>IF(E$79=#REF!,#REF!,0)</f>
        <v>#REF!</v>
      </c>
      <c r="F140" s="155" t="e">
        <f>IF(F$79=#REF!,#REF!,0)</f>
        <v>#REF!</v>
      </c>
      <c r="G140" s="155" t="e">
        <f>IF(G$79=#REF!,#REF!,0)</f>
        <v>#REF!</v>
      </c>
      <c r="H140" s="155" t="e">
        <f>IF(H$79=#REF!,#REF!,0)</f>
        <v>#REF!</v>
      </c>
      <c r="I140" s="155" t="e">
        <f>IF(I$79=#REF!,#REF!,0)</f>
        <v>#REF!</v>
      </c>
      <c r="J140" s="155" t="e">
        <f>IF(J$79=#REF!,#REF!,0)</f>
        <v>#REF!</v>
      </c>
      <c r="K140" s="156" t="e">
        <f>IF(K$79=#REF!,#REF!,0)</f>
        <v>#REF!</v>
      </c>
      <c r="X140" s="4"/>
      <c r="Y140" s="3"/>
      <c r="Z140" s="5"/>
    </row>
    <row r="141" spans="2:26" ht="14.55" x14ac:dyDescent="0.3">
      <c r="B141" s="162">
        <v>63</v>
      </c>
      <c r="C141" s="154" t="e">
        <f>IF(C$79=#REF!,#REF!,0)</f>
        <v>#REF!</v>
      </c>
      <c r="D141" s="155" t="e">
        <f>IF(D$79=#REF!,#REF!,0)</f>
        <v>#REF!</v>
      </c>
      <c r="E141" s="155" t="e">
        <f>IF(E$79=#REF!,#REF!,0)</f>
        <v>#REF!</v>
      </c>
      <c r="F141" s="155" t="e">
        <f>IF(F$79=#REF!,#REF!,0)</f>
        <v>#REF!</v>
      </c>
      <c r="G141" s="155" t="e">
        <f>IF(G$79=#REF!,#REF!,0)</f>
        <v>#REF!</v>
      </c>
      <c r="H141" s="155" t="e">
        <f>IF(H$79=#REF!,#REF!,0)</f>
        <v>#REF!</v>
      </c>
      <c r="I141" s="155" t="e">
        <f>IF(I$79=#REF!,#REF!,0)</f>
        <v>#REF!</v>
      </c>
      <c r="J141" s="155" t="e">
        <f>IF(J$79=#REF!,#REF!,0)</f>
        <v>#REF!</v>
      </c>
      <c r="K141" s="156" t="e">
        <f>IF(K$79=#REF!,#REF!,0)</f>
        <v>#REF!</v>
      </c>
      <c r="X141" s="4"/>
      <c r="Y141" s="3"/>
      <c r="Z141" s="5"/>
    </row>
    <row r="142" spans="2:26" ht="14.55" x14ac:dyDescent="0.3">
      <c r="B142" s="162">
        <v>64</v>
      </c>
      <c r="C142" s="154" t="e">
        <f>IF(C$79=#REF!,#REF!,0)</f>
        <v>#REF!</v>
      </c>
      <c r="D142" s="155" t="e">
        <f>IF(D$79=#REF!,#REF!,0)</f>
        <v>#REF!</v>
      </c>
      <c r="E142" s="155" t="e">
        <f>IF(E$79=#REF!,#REF!,0)</f>
        <v>#REF!</v>
      </c>
      <c r="F142" s="155" t="e">
        <f>IF(F$79=#REF!,#REF!,0)</f>
        <v>#REF!</v>
      </c>
      <c r="G142" s="155" t="e">
        <f>IF(G$79=#REF!,#REF!,0)</f>
        <v>#REF!</v>
      </c>
      <c r="H142" s="155" t="e">
        <f>IF(H$79=#REF!,#REF!,0)</f>
        <v>#REF!</v>
      </c>
      <c r="I142" s="155" t="e">
        <f>IF(I$79=#REF!,#REF!,0)</f>
        <v>#REF!</v>
      </c>
      <c r="J142" s="155" t="e">
        <f>IF(J$79=#REF!,#REF!,0)</f>
        <v>#REF!</v>
      </c>
      <c r="K142" s="156" t="e">
        <f>IF(K$79=#REF!,#REF!,0)</f>
        <v>#REF!</v>
      </c>
      <c r="X142" s="4"/>
      <c r="Y142" s="3"/>
      <c r="Z142" s="5"/>
    </row>
    <row r="143" spans="2:26" ht="14.55" x14ac:dyDescent="0.3">
      <c r="B143" s="304">
        <v>65</v>
      </c>
      <c r="C143" s="154" t="e">
        <f>IF(C$79=#REF!,#REF!,0)</f>
        <v>#REF!</v>
      </c>
      <c r="D143" s="155" t="e">
        <f>IF(D$79=#REF!,#REF!,0)</f>
        <v>#REF!</v>
      </c>
      <c r="E143" s="155" t="e">
        <f>IF(E$79=#REF!,#REF!,0)</f>
        <v>#REF!</v>
      </c>
      <c r="F143" s="155" t="e">
        <f>IF(F$79=#REF!,#REF!,0)</f>
        <v>#REF!</v>
      </c>
      <c r="G143" s="155" t="e">
        <f>IF(G$79=#REF!,#REF!,0)</f>
        <v>#REF!</v>
      </c>
      <c r="H143" s="155" t="e">
        <f>IF(H$79=#REF!,#REF!,0)</f>
        <v>#REF!</v>
      </c>
      <c r="I143" s="155" t="e">
        <f>IF(I$79=#REF!,#REF!,0)</f>
        <v>#REF!</v>
      </c>
      <c r="J143" s="155" t="e">
        <f>IF(J$79=#REF!,#REF!,0)</f>
        <v>#REF!</v>
      </c>
      <c r="K143" s="156" t="e">
        <f>IF(K$79=#REF!,#REF!,0)</f>
        <v>#REF!</v>
      </c>
      <c r="X143" s="4"/>
      <c r="Y143" s="3"/>
      <c r="Z143" s="5"/>
    </row>
    <row r="144" spans="2:26" ht="15.2" thickBot="1" x14ac:dyDescent="0.35">
      <c r="B144" s="270">
        <v>66</v>
      </c>
      <c r="C144" s="157" t="e">
        <f>IF(C$79=#REF!,#REF!,0)</f>
        <v>#REF!</v>
      </c>
      <c r="D144" s="158" t="e">
        <f>IF(D$79=#REF!,#REF!,0)</f>
        <v>#REF!</v>
      </c>
      <c r="E144" s="158" t="e">
        <f>IF(E$79=#REF!,#REF!,0)</f>
        <v>#REF!</v>
      </c>
      <c r="F144" s="158" t="e">
        <f>IF(F$79=#REF!,#REF!,0)</f>
        <v>#REF!</v>
      </c>
      <c r="G144" s="158" t="e">
        <f>IF(G$79=#REF!,#REF!,0)</f>
        <v>#REF!</v>
      </c>
      <c r="H144" s="158" t="e">
        <f>IF(H$79=#REF!,#REF!,0)</f>
        <v>#REF!</v>
      </c>
      <c r="I144" s="158" t="e">
        <f>IF(I$79=#REF!,#REF!,0)</f>
        <v>#REF!</v>
      </c>
      <c r="J144" s="158" t="e">
        <f>IF(J$79=#REF!,#REF!,0)</f>
        <v>#REF!</v>
      </c>
      <c r="K144" s="159" t="e">
        <f>IF(K$79=#REF!,#REF!,0)</f>
        <v>#REF!</v>
      </c>
      <c r="X144" s="4"/>
      <c r="Y144" s="3"/>
      <c r="Z144" s="5"/>
    </row>
    <row r="145" spans="2:26" ht="15.2" thickBot="1" x14ac:dyDescent="0.35">
      <c r="B145" s="165"/>
      <c r="C145" s="160" t="e">
        <f t="shared" ref="C145:K145" si="0">SUM(C80:C144)</f>
        <v>#REF!</v>
      </c>
      <c r="D145" s="160" t="e">
        <f t="shared" si="0"/>
        <v>#REF!</v>
      </c>
      <c r="E145" s="160" t="e">
        <f t="shared" si="0"/>
        <v>#REF!</v>
      </c>
      <c r="F145" s="160" t="e">
        <f t="shared" si="0"/>
        <v>#REF!</v>
      </c>
      <c r="G145" s="160" t="e">
        <f t="shared" si="0"/>
        <v>#REF!</v>
      </c>
      <c r="H145" s="160" t="e">
        <f t="shared" si="0"/>
        <v>#REF!</v>
      </c>
      <c r="I145" s="160" t="e">
        <f t="shared" si="0"/>
        <v>#REF!</v>
      </c>
      <c r="J145" s="160" t="e">
        <f t="shared" si="0"/>
        <v>#REF!</v>
      </c>
      <c r="K145" s="160" t="e">
        <f t="shared" si="0"/>
        <v>#REF!</v>
      </c>
      <c r="X145" s="4"/>
      <c r="Y145" s="3"/>
      <c r="Z145" s="5"/>
    </row>
    <row r="146" spans="2:26" ht="14.55" x14ac:dyDescent="0.3">
      <c r="X146" s="4"/>
      <c r="Y146" s="3"/>
      <c r="Z146" s="5"/>
    </row>
    <row r="147" spans="2:26" ht="14.55" x14ac:dyDescent="0.3">
      <c r="X147" s="4"/>
      <c r="Y147" s="3"/>
      <c r="Z147" s="5"/>
    </row>
    <row r="148" spans="2:26" ht="14.55" x14ac:dyDescent="0.3">
      <c r="X148" s="4"/>
      <c r="Y148" s="3"/>
      <c r="Z148" s="5"/>
    </row>
    <row r="149" spans="2:26" ht="14.55" x14ac:dyDescent="0.3">
      <c r="X149" s="4"/>
      <c r="Y149" s="3"/>
      <c r="Z149" s="5"/>
    </row>
    <row r="150" spans="2:26" ht="14.55" x14ac:dyDescent="0.3">
      <c r="X150" s="4"/>
      <c r="Y150" s="3"/>
      <c r="Z150" s="5"/>
    </row>
    <row r="151" spans="2:26" ht="14.55" x14ac:dyDescent="0.3">
      <c r="X151" s="4"/>
      <c r="Y151" s="3"/>
      <c r="Z151" s="5"/>
    </row>
    <row r="152" spans="2:26" ht="14.55" x14ac:dyDescent="0.3">
      <c r="X152" s="4"/>
      <c r="Y152" s="3"/>
      <c r="Z152" s="5"/>
    </row>
    <row r="153" spans="2:26" ht="14.55" x14ac:dyDescent="0.3">
      <c r="X153" s="4"/>
      <c r="Y153" s="3"/>
      <c r="Z153" s="5"/>
    </row>
    <row r="154" spans="2:26" ht="14.55" x14ac:dyDescent="0.3">
      <c r="X154" s="4"/>
      <c r="Y154" s="3"/>
      <c r="Z154" s="5"/>
    </row>
    <row r="155" spans="2:26" ht="14.55" x14ac:dyDescent="0.3">
      <c r="X155" s="4"/>
      <c r="Y155" s="3"/>
      <c r="Z155" s="5"/>
    </row>
    <row r="156" spans="2:26" ht="14.55" x14ac:dyDescent="0.3">
      <c r="X156" s="4"/>
      <c r="Y156" s="3"/>
      <c r="Z156" s="5"/>
    </row>
    <row r="157" spans="2:26" ht="14.55" x14ac:dyDescent="0.3">
      <c r="X157" s="4"/>
      <c r="Y157" s="3"/>
      <c r="Z157" s="5"/>
    </row>
    <row r="158" spans="2:26" ht="14.55" x14ac:dyDescent="0.3">
      <c r="X158" s="4"/>
      <c r="Y158" s="3"/>
      <c r="Z158" s="5"/>
    </row>
    <row r="159" spans="2:26" ht="14.55" x14ac:dyDescent="0.3">
      <c r="X159" s="4"/>
      <c r="Y159" s="3"/>
      <c r="Z159" s="5"/>
    </row>
    <row r="160" spans="2:26" ht="14.55" x14ac:dyDescent="0.3">
      <c r="X160" s="4"/>
      <c r="Y160" s="3"/>
      <c r="Z160" s="5"/>
    </row>
    <row r="161" spans="24:26" ht="14.55" x14ac:dyDescent="0.3">
      <c r="X161" s="4"/>
      <c r="Y161" s="3"/>
      <c r="Z161" s="5"/>
    </row>
    <row r="162" spans="24:26" ht="14.55" x14ac:dyDescent="0.3">
      <c r="X162" s="4"/>
      <c r="Y162" s="3"/>
      <c r="Z162" s="5"/>
    </row>
    <row r="163" spans="24:26" ht="14.55" x14ac:dyDescent="0.3">
      <c r="X163" s="4"/>
      <c r="Y163" s="3"/>
      <c r="Z163" s="5"/>
    </row>
    <row r="164" spans="24:26" ht="14.55" x14ac:dyDescent="0.3">
      <c r="X164" s="4"/>
      <c r="Y164" s="3"/>
      <c r="Z164" s="5"/>
    </row>
    <row r="165" spans="24:26" ht="14.55" x14ac:dyDescent="0.3">
      <c r="X165" s="4"/>
      <c r="Y165" s="3"/>
      <c r="Z165" s="5"/>
    </row>
    <row r="166" spans="24:26" ht="14.55" x14ac:dyDescent="0.3">
      <c r="X166" s="4"/>
      <c r="Y166" s="3"/>
      <c r="Z166" s="5"/>
    </row>
    <row r="167" spans="24:26" ht="14.55" x14ac:dyDescent="0.3">
      <c r="X167" s="4"/>
      <c r="Y167" s="3"/>
      <c r="Z167" s="5"/>
    </row>
    <row r="168" spans="24:26" ht="14.55" x14ac:dyDescent="0.3">
      <c r="X168" s="4"/>
      <c r="Y168" s="3"/>
      <c r="Z168" s="5"/>
    </row>
    <row r="169" spans="24:26" ht="14.55" x14ac:dyDescent="0.3">
      <c r="X169" s="4"/>
      <c r="Y169" s="3"/>
      <c r="Z169" s="5"/>
    </row>
    <row r="170" spans="24:26" ht="14.55" x14ac:dyDescent="0.3">
      <c r="X170" s="4"/>
      <c r="Y170" s="3"/>
      <c r="Z170" s="5"/>
    </row>
    <row r="171" spans="24:26" ht="14.55" x14ac:dyDescent="0.3">
      <c r="X171" s="4"/>
      <c r="Y171" s="3"/>
      <c r="Z171" s="5"/>
    </row>
    <row r="172" spans="24:26" ht="14.55" x14ac:dyDescent="0.3">
      <c r="X172" s="4"/>
      <c r="Y172" s="3"/>
      <c r="Z172" s="5"/>
    </row>
    <row r="173" spans="24:26" ht="14.55" x14ac:dyDescent="0.3">
      <c r="X173" s="4"/>
      <c r="Y173" s="3"/>
      <c r="Z173" s="5"/>
    </row>
    <row r="174" spans="24:26" ht="14.55" x14ac:dyDescent="0.3">
      <c r="X174" s="4"/>
      <c r="Y174" s="3"/>
      <c r="Z174" s="5"/>
    </row>
    <row r="175" spans="24:26" ht="14.55" x14ac:dyDescent="0.3">
      <c r="X175" s="4"/>
      <c r="Y175" s="3"/>
      <c r="Z175" s="5"/>
    </row>
    <row r="176" spans="24:26" ht="14.55" x14ac:dyDescent="0.3">
      <c r="X176" s="4"/>
      <c r="Y176" s="3"/>
      <c r="Z176" s="5"/>
    </row>
    <row r="177" spans="24:26" ht="14.55" x14ac:dyDescent="0.3">
      <c r="X177" s="4"/>
      <c r="Y177" s="3"/>
      <c r="Z177" s="5"/>
    </row>
    <row r="178" spans="24:26" ht="14.55" x14ac:dyDescent="0.3">
      <c r="X178" s="4"/>
      <c r="Y178" s="3"/>
      <c r="Z178" s="5"/>
    </row>
    <row r="179" spans="24:26" ht="14.55" x14ac:dyDescent="0.3">
      <c r="X179" s="4"/>
      <c r="Y179" s="3"/>
      <c r="Z179" s="5"/>
    </row>
    <row r="180" spans="24:26" ht="14.55" x14ac:dyDescent="0.3">
      <c r="X180" s="4"/>
      <c r="Y180" s="3"/>
      <c r="Z180" s="5"/>
    </row>
    <row r="181" spans="24:26" ht="14.55" x14ac:dyDescent="0.3">
      <c r="X181" s="4"/>
      <c r="Y181" s="3"/>
      <c r="Z181" s="5"/>
    </row>
    <row r="182" spans="24:26" ht="14.55" x14ac:dyDescent="0.3">
      <c r="X182" s="4"/>
      <c r="Y182" s="3"/>
      <c r="Z182" s="5"/>
    </row>
    <row r="183" spans="24:26" ht="14.55" x14ac:dyDescent="0.3">
      <c r="X183" s="4"/>
      <c r="Y183" s="3"/>
      <c r="Z183" s="5"/>
    </row>
    <row r="184" spans="24:26" ht="14.55" x14ac:dyDescent="0.3">
      <c r="X184" s="4"/>
      <c r="Y184" s="3"/>
      <c r="Z184" s="5"/>
    </row>
    <row r="185" spans="24:26" ht="14.55" x14ac:dyDescent="0.3">
      <c r="X185" s="4"/>
      <c r="Y185" s="3"/>
      <c r="Z185" s="5"/>
    </row>
    <row r="186" spans="24:26" ht="14.55" x14ac:dyDescent="0.3">
      <c r="X186" s="4"/>
      <c r="Y186" s="3"/>
      <c r="Z186" s="5"/>
    </row>
    <row r="187" spans="24:26" ht="14.55" x14ac:dyDescent="0.3">
      <c r="X187" s="4"/>
      <c r="Y187" s="3"/>
      <c r="Z187" s="5"/>
    </row>
    <row r="188" spans="24:26" ht="14.55" x14ac:dyDescent="0.3">
      <c r="X188" s="4"/>
      <c r="Y188" s="3"/>
      <c r="Z188" s="5"/>
    </row>
    <row r="189" spans="24:26" ht="14.55" x14ac:dyDescent="0.3">
      <c r="X189" s="4"/>
      <c r="Y189" s="3"/>
      <c r="Z189" s="5"/>
    </row>
    <row r="190" spans="24:26" ht="14.55" x14ac:dyDescent="0.3">
      <c r="X190" s="4"/>
      <c r="Y190" s="3"/>
      <c r="Z190" s="5"/>
    </row>
    <row r="191" spans="24:26" ht="14.55" x14ac:dyDescent="0.3">
      <c r="X191" s="4"/>
      <c r="Y191" s="3"/>
      <c r="Z191" s="5"/>
    </row>
    <row r="192" spans="24:26" ht="14.55" x14ac:dyDescent="0.3">
      <c r="X192" s="4"/>
      <c r="Y192" s="3"/>
      <c r="Z192" s="5"/>
    </row>
    <row r="193" spans="24:26" ht="14.55" x14ac:dyDescent="0.3">
      <c r="X193" s="4"/>
      <c r="Y193" s="3"/>
      <c r="Z193" s="5"/>
    </row>
    <row r="194" spans="24:26" ht="14.55" x14ac:dyDescent="0.3">
      <c r="X194" s="4"/>
      <c r="Y194" s="3"/>
      <c r="Z194" s="5"/>
    </row>
    <row r="195" spans="24:26" ht="14.55" x14ac:dyDescent="0.3">
      <c r="X195" s="4"/>
      <c r="Y195" s="3"/>
      <c r="Z195" s="5"/>
    </row>
    <row r="196" spans="24:26" ht="14.55" x14ac:dyDescent="0.3">
      <c r="X196" s="4"/>
      <c r="Y196" s="3"/>
      <c r="Z196" s="5"/>
    </row>
    <row r="197" spans="24:26" ht="14.55" x14ac:dyDescent="0.3">
      <c r="X197" s="4"/>
      <c r="Y197" s="3"/>
      <c r="Z197" s="5"/>
    </row>
    <row r="198" spans="24:26" ht="14.55" x14ac:dyDescent="0.3">
      <c r="X198" s="4"/>
      <c r="Y198" s="3"/>
      <c r="Z198" s="5"/>
    </row>
    <row r="199" spans="24:26" ht="14.55" x14ac:dyDescent="0.3">
      <c r="X199" s="4"/>
      <c r="Y199" s="3"/>
      <c r="Z199" s="5"/>
    </row>
    <row r="200" spans="24:26" ht="14.55" x14ac:dyDescent="0.3">
      <c r="X200" s="4"/>
      <c r="Y200" s="3"/>
      <c r="Z200" s="5"/>
    </row>
    <row r="201" spans="24:26" ht="14.55" x14ac:dyDescent="0.3">
      <c r="X201" s="4"/>
      <c r="Y201" s="3"/>
      <c r="Z201" s="5"/>
    </row>
    <row r="202" spans="24:26" ht="14.55" x14ac:dyDescent="0.3">
      <c r="X202" s="4"/>
      <c r="Y202" s="3"/>
      <c r="Z202" s="5"/>
    </row>
    <row r="203" spans="24:26" ht="14.55" x14ac:dyDescent="0.3">
      <c r="X203" s="4"/>
      <c r="Y203" s="3"/>
      <c r="Z203" s="5"/>
    </row>
    <row r="204" spans="24:26" ht="14.55" x14ac:dyDescent="0.3">
      <c r="X204" s="4"/>
      <c r="Y204" s="3"/>
      <c r="Z204" s="5"/>
    </row>
    <row r="205" spans="24:26" ht="14.55" x14ac:dyDescent="0.3">
      <c r="X205" s="4"/>
      <c r="Y205" s="3"/>
      <c r="Z205" s="5"/>
    </row>
    <row r="206" spans="24:26" ht="14.55" x14ac:dyDescent="0.3">
      <c r="X206" s="4"/>
      <c r="Y206" s="3"/>
      <c r="Z206" s="5"/>
    </row>
    <row r="207" spans="24:26" ht="14.55" x14ac:dyDescent="0.3">
      <c r="X207" s="4"/>
      <c r="Y207" s="3"/>
      <c r="Z207" s="5"/>
    </row>
    <row r="208" spans="24:26" ht="14.55" x14ac:dyDescent="0.3">
      <c r="X208" s="4"/>
      <c r="Y208" s="3"/>
      <c r="Z208" s="5"/>
    </row>
    <row r="209" spans="24:26" ht="14.55" x14ac:dyDescent="0.3">
      <c r="X209" s="4"/>
      <c r="Y209" s="3"/>
      <c r="Z209" s="5"/>
    </row>
    <row r="210" spans="24:26" ht="14.55" x14ac:dyDescent="0.3">
      <c r="X210" s="4"/>
      <c r="Y210" s="3"/>
      <c r="Z210" s="5"/>
    </row>
    <row r="211" spans="24:26" ht="14.55" x14ac:dyDescent="0.3">
      <c r="X211" s="4"/>
      <c r="Y211" s="3"/>
      <c r="Z211" s="5"/>
    </row>
    <row r="212" spans="24:26" ht="14.55" x14ac:dyDescent="0.3">
      <c r="X212" s="4"/>
      <c r="Y212" s="3"/>
      <c r="Z212" s="5"/>
    </row>
    <row r="213" spans="24:26" ht="14.55" x14ac:dyDescent="0.3">
      <c r="X213" s="4"/>
      <c r="Y213" s="3"/>
      <c r="Z213" s="5"/>
    </row>
    <row r="214" spans="24:26" ht="14.55" x14ac:dyDescent="0.3">
      <c r="X214" s="4"/>
      <c r="Y214" s="3"/>
      <c r="Z214" s="5"/>
    </row>
    <row r="215" spans="24:26" ht="14.55" x14ac:dyDescent="0.3">
      <c r="X215" s="4"/>
      <c r="Y215" s="3"/>
      <c r="Z215" s="5"/>
    </row>
    <row r="216" spans="24:26" ht="14.55" x14ac:dyDescent="0.3">
      <c r="X216" s="4"/>
      <c r="Y216" s="3"/>
      <c r="Z216" s="5"/>
    </row>
    <row r="217" spans="24:26" ht="14.55" x14ac:dyDescent="0.3">
      <c r="X217" s="4"/>
      <c r="Y217" s="3"/>
      <c r="Z217" s="5"/>
    </row>
    <row r="218" spans="24:26" ht="14.55" x14ac:dyDescent="0.3">
      <c r="X218" s="4"/>
      <c r="Y218" s="3"/>
      <c r="Z218" s="5"/>
    </row>
    <row r="219" spans="24:26" ht="14.55" x14ac:dyDescent="0.3">
      <c r="X219" s="4"/>
      <c r="Y219" s="3"/>
      <c r="Z219" s="5"/>
    </row>
    <row r="220" spans="24:26" ht="14.55" x14ac:dyDescent="0.3">
      <c r="X220" s="4"/>
      <c r="Y220" s="3"/>
      <c r="Z220" s="5"/>
    </row>
    <row r="221" spans="24:26" ht="14.55" x14ac:dyDescent="0.3">
      <c r="X221" s="4"/>
      <c r="Y221" s="3"/>
      <c r="Z221" s="5"/>
    </row>
    <row r="222" spans="24:26" ht="14.55" x14ac:dyDescent="0.3">
      <c r="X222" s="4"/>
      <c r="Y222" s="3"/>
      <c r="Z222" s="5"/>
    </row>
    <row r="223" spans="24:26" ht="14.55" x14ac:dyDescent="0.3">
      <c r="X223" s="4"/>
      <c r="Y223" s="3"/>
      <c r="Z223" s="5"/>
    </row>
    <row r="224" spans="24:26" ht="14.55" x14ac:dyDescent="0.3">
      <c r="X224" s="4"/>
      <c r="Y224" s="3"/>
      <c r="Z224" s="5"/>
    </row>
    <row r="225" spans="24:26" ht="14.55" x14ac:dyDescent="0.3">
      <c r="X225" s="4"/>
      <c r="Y225" s="3"/>
      <c r="Z225" s="5"/>
    </row>
    <row r="226" spans="24:26" ht="14.55" x14ac:dyDescent="0.3">
      <c r="X226" s="4"/>
      <c r="Y226" s="3"/>
      <c r="Z226" s="5"/>
    </row>
    <row r="227" spans="24:26" ht="14.55" x14ac:dyDescent="0.3">
      <c r="X227" s="4"/>
      <c r="Y227" s="3"/>
      <c r="Z227" s="5"/>
    </row>
    <row r="228" spans="24:26" ht="14.55" x14ac:dyDescent="0.3">
      <c r="X228" s="4"/>
      <c r="Y228" s="3"/>
      <c r="Z228" s="5"/>
    </row>
    <row r="229" spans="24:26" ht="14.55" x14ac:dyDescent="0.3">
      <c r="X229" s="4"/>
      <c r="Y229" s="3"/>
      <c r="Z229" s="5"/>
    </row>
    <row r="230" spans="24:26" ht="14.55" x14ac:dyDescent="0.3">
      <c r="X230" s="4"/>
      <c r="Y230" s="3"/>
      <c r="Z230" s="5"/>
    </row>
    <row r="231" spans="24:26" ht="14.55" x14ac:dyDescent="0.3">
      <c r="X231" s="4"/>
      <c r="Y231" s="3"/>
      <c r="Z231" s="5"/>
    </row>
    <row r="232" spans="24:26" ht="14.55" x14ac:dyDescent="0.3">
      <c r="X232" s="4"/>
      <c r="Y232" s="3"/>
      <c r="Z232" s="5"/>
    </row>
    <row r="233" spans="24:26" ht="14.55" x14ac:dyDescent="0.3">
      <c r="X233" s="4"/>
      <c r="Y233" s="3"/>
      <c r="Z233" s="5"/>
    </row>
    <row r="234" spans="24:26" ht="14.55" x14ac:dyDescent="0.3">
      <c r="X234" s="4"/>
      <c r="Y234" s="3"/>
      <c r="Z234" s="5"/>
    </row>
    <row r="235" spans="24:26" ht="14.55" x14ac:dyDescent="0.3">
      <c r="X235" s="4"/>
      <c r="Y235" s="3"/>
      <c r="Z235" s="5"/>
    </row>
    <row r="236" spans="24:26" ht="14.55" x14ac:dyDescent="0.3">
      <c r="X236" s="4"/>
      <c r="Y236" s="3"/>
      <c r="Z236" s="5"/>
    </row>
    <row r="237" spans="24:26" ht="14.55" x14ac:dyDescent="0.3">
      <c r="X237" s="4"/>
      <c r="Y237" s="3"/>
      <c r="Z237" s="5"/>
    </row>
    <row r="238" spans="24:26" ht="14.55" x14ac:dyDescent="0.3">
      <c r="X238" s="4"/>
      <c r="Y238" s="3"/>
      <c r="Z238" s="5"/>
    </row>
    <row r="239" spans="24:26" ht="14.55" x14ac:dyDescent="0.3">
      <c r="X239" s="4"/>
      <c r="Y239" s="3"/>
      <c r="Z239" s="5"/>
    </row>
    <row r="240" spans="24:26" ht="14.55" x14ac:dyDescent="0.3">
      <c r="X240" s="4"/>
      <c r="Y240" s="3"/>
      <c r="Z240" s="5"/>
    </row>
    <row r="241" spans="24:26" ht="14.55" x14ac:dyDescent="0.3">
      <c r="X241" s="4"/>
      <c r="Y241" s="3"/>
      <c r="Z241" s="5"/>
    </row>
    <row r="242" spans="24:26" ht="14.55" x14ac:dyDescent="0.3">
      <c r="X242" s="4"/>
      <c r="Y242" s="3"/>
      <c r="Z242" s="5"/>
    </row>
    <row r="243" spans="24:26" ht="14.55" x14ac:dyDescent="0.3">
      <c r="X243" s="4"/>
      <c r="Y243" s="3"/>
      <c r="Z243" s="5"/>
    </row>
    <row r="244" spans="24:26" ht="14.55" x14ac:dyDescent="0.3">
      <c r="X244" s="4"/>
      <c r="Y244" s="3"/>
      <c r="Z244" s="5"/>
    </row>
    <row r="245" spans="24:26" ht="14.55" x14ac:dyDescent="0.3">
      <c r="X245" s="4"/>
      <c r="Y245" s="3"/>
      <c r="Z245" s="5"/>
    </row>
    <row r="246" spans="24:26" ht="14.55" x14ac:dyDescent="0.3">
      <c r="X246" s="4"/>
      <c r="Y246" s="3"/>
      <c r="Z246" s="5"/>
    </row>
    <row r="247" spans="24:26" ht="14.55" x14ac:dyDescent="0.3">
      <c r="X247" s="4"/>
      <c r="Y247" s="3"/>
      <c r="Z247" s="5"/>
    </row>
    <row r="248" spans="24:26" ht="14.55" x14ac:dyDescent="0.3">
      <c r="X248" s="4"/>
      <c r="Y248" s="3"/>
      <c r="Z248" s="5"/>
    </row>
    <row r="249" spans="24:26" ht="14.55" x14ac:dyDescent="0.3">
      <c r="X249" s="4"/>
      <c r="Y249" s="3"/>
      <c r="Z249" s="5"/>
    </row>
    <row r="250" spans="24:26" ht="14.55" x14ac:dyDescent="0.3">
      <c r="X250" s="4"/>
      <c r="Y250" s="3"/>
      <c r="Z250" s="5"/>
    </row>
    <row r="251" spans="24:26" ht="14.55" x14ac:dyDescent="0.3">
      <c r="X251" s="4"/>
      <c r="Y251" s="3"/>
      <c r="Z251" s="5"/>
    </row>
    <row r="252" spans="24:26" ht="14.55" x14ac:dyDescent="0.3">
      <c r="X252" s="4"/>
      <c r="Y252" s="3"/>
      <c r="Z252" s="5"/>
    </row>
    <row r="253" spans="24:26" ht="14.55" x14ac:dyDescent="0.3">
      <c r="X253" s="4"/>
      <c r="Y253" s="3"/>
      <c r="Z253" s="5"/>
    </row>
    <row r="254" spans="24:26" ht="14.55" x14ac:dyDescent="0.3">
      <c r="X254" s="4"/>
      <c r="Y254" s="3"/>
      <c r="Z254" s="5"/>
    </row>
    <row r="255" spans="24:26" ht="14.55" x14ac:dyDescent="0.3">
      <c r="X255" s="4"/>
      <c r="Y255" s="3"/>
      <c r="Z255" s="5"/>
    </row>
    <row r="256" spans="24:26" ht="14.55" x14ac:dyDescent="0.3">
      <c r="X256" s="4"/>
      <c r="Y256" s="3"/>
      <c r="Z256" s="5"/>
    </row>
    <row r="257" spans="24:26" ht="14.55" x14ac:dyDescent="0.3">
      <c r="X257" s="4"/>
      <c r="Y257" s="3"/>
      <c r="Z257" s="5"/>
    </row>
    <row r="258" spans="24:26" ht="14.55" x14ac:dyDescent="0.3">
      <c r="X258" s="4"/>
      <c r="Y258" s="3"/>
      <c r="Z258" s="5"/>
    </row>
    <row r="259" spans="24:26" ht="14.55" x14ac:dyDescent="0.3">
      <c r="X259" s="4"/>
      <c r="Y259" s="3"/>
      <c r="Z259" s="5"/>
    </row>
    <row r="260" spans="24:26" ht="14.55" x14ac:dyDescent="0.3">
      <c r="X260" s="4"/>
      <c r="Y260" s="3"/>
      <c r="Z260" s="5"/>
    </row>
    <row r="261" spans="24:26" ht="14.55" x14ac:dyDescent="0.3">
      <c r="X261" s="4"/>
      <c r="Y261" s="3"/>
      <c r="Z261" s="5"/>
    </row>
    <row r="262" spans="24:26" ht="14.55" x14ac:dyDescent="0.3">
      <c r="X262" s="4"/>
      <c r="Y262" s="3"/>
      <c r="Z262" s="5"/>
    </row>
    <row r="263" spans="24:26" ht="14.55" x14ac:dyDescent="0.3">
      <c r="X263" s="4"/>
      <c r="Y263" s="3"/>
      <c r="Z263" s="5"/>
    </row>
    <row r="264" spans="24:26" ht="14.55" x14ac:dyDescent="0.3">
      <c r="X264" s="4"/>
      <c r="Y264" s="3"/>
      <c r="Z264" s="5"/>
    </row>
    <row r="265" spans="24:26" ht="14.55" x14ac:dyDescent="0.3">
      <c r="X265" s="4"/>
      <c r="Y265" s="3"/>
      <c r="Z265" s="5"/>
    </row>
    <row r="266" spans="24:26" ht="14.55" x14ac:dyDescent="0.3">
      <c r="X266" s="4"/>
      <c r="Y266" s="3"/>
      <c r="Z266" s="5"/>
    </row>
    <row r="267" spans="24:26" ht="14.55" x14ac:dyDescent="0.3">
      <c r="X267" s="4"/>
      <c r="Y267" s="3"/>
      <c r="Z267" s="5"/>
    </row>
    <row r="268" spans="24:26" ht="14.55" x14ac:dyDescent="0.3">
      <c r="X268" s="4"/>
      <c r="Y268" s="3"/>
      <c r="Z268" s="5"/>
    </row>
    <row r="269" spans="24:26" ht="14.55" x14ac:dyDescent="0.3">
      <c r="X269" s="4"/>
      <c r="Y269" s="3"/>
      <c r="Z269" s="5"/>
    </row>
    <row r="270" spans="24:26" ht="14.55" x14ac:dyDescent="0.3">
      <c r="X270" s="4"/>
      <c r="Y270" s="3"/>
      <c r="Z270" s="5"/>
    </row>
    <row r="271" spans="24:26" ht="14.55" x14ac:dyDescent="0.3">
      <c r="X271" s="4"/>
      <c r="Y271" s="3"/>
      <c r="Z271" s="5"/>
    </row>
    <row r="272" spans="24:26" ht="14.55" x14ac:dyDescent="0.3">
      <c r="X272" s="4"/>
      <c r="Y272" s="3"/>
      <c r="Z272" s="5"/>
    </row>
    <row r="273" spans="24:26" ht="14.55" x14ac:dyDescent="0.3">
      <c r="X273" s="4"/>
      <c r="Y273" s="3"/>
      <c r="Z273" s="5"/>
    </row>
    <row r="274" spans="24:26" ht="14.55" x14ac:dyDescent="0.3">
      <c r="X274" s="4"/>
      <c r="Y274" s="3"/>
      <c r="Z274" s="5"/>
    </row>
    <row r="275" spans="24:26" ht="14.55" x14ac:dyDescent="0.3">
      <c r="X275" s="4"/>
      <c r="Y275" s="3"/>
      <c r="Z275" s="5"/>
    </row>
    <row r="276" spans="24:26" ht="14.55" x14ac:dyDescent="0.3">
      <c r="X276" s="4"/>
      <c r="Y276" s="3"/>
      <c r="Z276" s="5"/>
    </row>
    <row r="277" spans="24:26" ht="14.55" x14ac:dyDescent="0.3">
      <c r="X277" s="4"/>
      <c r="Y277" s="3"/>
      <c r="Z277" s="5"/>
    </row>
    <row r="278" spans="24:26" ht="14.55" x14ac:dyDescent="0.3">
      <c r="X278" s="4"/>
      <c r="Y278" s="3"/>
      <c r="Z278" s="5"/>
    </row>
    <row r="279" spans="24:26" ht="14.55" x14ac:dyDescent="0.3">
      <c r="X279" s="4"/>
      <c r="Y279" s="3"/>
      <c r="Z279" s="5"/>
    </row>
    <row r="280" spans="24:26" ht="14.55" x14ac:dyDescent="0.3">
      <c r="X280" s="4"/>
      <c r="Y280" s="3"/>
      <c r="Z280" s="5"/>
    </row>
    <row r="281" spans="24:26" ht="14.55" x14ac:dyDescent="0.3">
      <c r="X281" s="4"/>
      <c r="Y281" s="3"/>
      <c r="Z281" s="5"/>
    </row>
    <row r="282" spans="24:26" ht="14.55" x14ac:dyDescent="0.3">
      <c r="X282" s="4"/>
      <c r="Y282" s="3"/>
      <c r="Z282" s="5"/>
    </row>
    <row r="283" spans="24:26" ht="14.55" x14ac:dyDescent="0.3">
      <c r="X283" s="4"/>
      <c r="Y283" s="3"/>
      <c r="Z283" s="5"/>
    </row>
    <row r="284" spans="24:26" ht="14.55" x14ac:dyDescent="0.3">
      <c r="X284" s="4"/>
      <c r="Y284" s="3"/>
      <c r="Z284" s="5"/>
    </row>
    <row r="285" spans="24:26" ht="14.55" x14ac:dyDescent="0.3">
      <c r="X285" s="4"/>
      <c r="Y285" s="3"/>
      <c r="Z285" s="5"/>
    </row>
    <row r="286" spans="24:26" ht="14.55" x14ac:dyDescent="0.3">
      <c r="X286" s="4"/>
      <c r="Y286" s="3"/>
      <c r="Z286" s="5"/>
    </row>
    <row r="287" spans="24:26" ht="14.55" x14ac:dyDescent="0.3">
      <c r="X287" s="4"/>
      <c r="Y287" s="3"/>
      <c r="Z287" s="5"/>
    </row>
    <row r="288" spans="24:26" ht="14.55" x14ac:dyDescent="0.3">
      <c r="X288" s="4"/>
      <c r="Y288" s="3"/>
      <c r="Z288" s="5"/>
    </row>
    <row r="289" spans="24:26" ht="14.55" x14ac:dyDescent="0.3">
      <c r="X289" s="4"/>
      <c r="Y289" s="3"/>
      <c r="Z289" s="5"/>
    </row>
    <row r="290" spans="24:26" ht="14.55" x14ac:dyDescent="0.3">
      <c r="X290" s="4"/>
      <c r="Y290" s="3"/>
      <c r="Z290" s="5"/>
    </row>
    <row r="291" spans="24:26" ht="14.55" x14ac:dyDescent="0.3">
      <c r="X291" s="4"/>
      <c r="Y291" s="3"/>
      <c r="Z291" s="5"/>
    </row>
    <row r="292" spans="24:26" ht="14.55" x14ac:dyDescent="0.3">
      <c r="X292" s="4"/>
      <c r="Y292" s="3"/>
      <c r="Z292" s="5"/>
    </row>
    <row r="293" spans="24:26" ht="14.55" x14ac:dyDescent="0.3">
      <c r="X293" s="4"/>
      <c r="Y293" s="3"/>
      <c r="Z293" s="5"/>
    </row>
    <row r="294" spans="24:26" ht="14.55" x14ac:dyDescent="0.3">
      <c r="X294" s="4"/>
      <c r="Y294" s="3"/>
      <c r="Z294" s="5"/>
    </row>
    <row r="295" spans="24:26" ht="14.55" x14ac:dyDescent="0.3">
      <c r="X295" s="4"/>
      <c r="Y295" s="3"/>
      <c r="Z295" s="5"/>
    </row>
    <row r="296" spans="24:26" ht="14.55" x14ac:dyDescent="0.3">
      <c r="X296" s="4"/>
      <c r="Y296" s="3"/>
      <c r="Z296" s="5"/>
    </row>
    <row r="297" spans="24:26" ht="14.55" x14ac:dyDescent="0.3">
      <c r="X297" s="4"/>
      <c r="Y297" s="3"/>
      <c r="Z297" s="5"/>
    </row>
    <row r="298" spans="24:26" ht="14.55" x14ac:dyDescent="0.3">
      <c r="X298" s="4"/>
      <c r="Y298" s="3"/>
      <c r="Z298" s="5"/>
    </row>
    <row r="299" spans="24:26" ht="14.55" x14ac:dyDescent="0.3">
      <c r="X299" s="4"/>
      <c r="Y299" s="3"/>
      <c r="Z299" s="5"/>
    </row>
  </sheetData>
  <sheetProtection selectLockedCells="1"/>
  <mergeCells count="118">
    <mergeCell ref="B61:C61"/>
    <mergeCell ref="B69:C69"/>
    <mergeCell ref="B67:C67"/>
    <mergeCell ref="B68:C68"/>
    <mergeCell ref="B45:C45"/>
    <mergeCell ref="B46:C46"/>
    <mergeCell ref="B47:C47"/>
    <mergeCell ref="B48:C48"/>
    <mergeCell ref="B54:C54"/>
    <mergeCell ref="B51:C51"/>
    <mergeCell ref="B52:C52"/>
    <mergeCell ref="B53:C53"/>
    <mergeCell ref="B55:C55"/>
    <mergeCell ref="B56:C56"/>
    <mergeCell ref="B57:C57"/>
    <mergeCell ref="B58:C58"/>
    <mergeCell ref="B59:C59"/>
    <mergeCell ref="B60:C60"/>
    <mergeCell ref="N74:O74"/>
    <mergeCell ref="Q74:R74"/>
    <mergeCell ref="B70:C70"/>
    <mergeCell ref="B71:C71"/>
    <mergeCell ref="B72:C72"/>
    <mergeCell ref="B62:C62"/>
    <mergeCell ref="B63:C63"/>
    <mergeCell ref="B64:C64"/>
    <mergeCell ref="B65:C65"/>
    <mergeCell ref="B66:C66"/>
    <mergeCell ref="A76:J76"/>
    <mergeCell ref="B78:K78"/>
    <mergeCell ref="B29:C29"/>
    <mergeCell ref="B30:C30"/>
    <mergeCell ref="B74:C74"/>
    <mergeCell ref="E74:F74"/>
    <mergeCell ref="H74:I74"/>
    <mergeCell ref="B36:C36"/>
    <mergeCell ref="B31:C31"/>
    <mergeCell ref="B32:C32"/>
    <mergeCell ref="B33:C33"/>
    <mergeCell ref="B34:C34"/>
    <mergeCell ref="B35:C35"/>
    <mergeCell ref="K74:L74"/>
    <mergeCell ref="B37:C37"/>
    <mergeCell ref="B38:C38"/>
    <mergeCell ref="B39:C39"/>
    <mergeCell ref="B40:C40"/>
    <mergeCell ref="B41:C41"/>
    <mergeCell ref="B42:C42"/>
    <mergeCell ref="B49:C49"/>
    <mergeCell ref="B50:C50"/>
    <mergeCell ref="B43:C43"/>
    <mergeCell ref="B44:C44"/>
    <mergeCell ref="B23:C23"/>
    <mergeCell ref="B24:C24"/>
    <mergeCell ref="B25:C25"/>
    <mergeCell ref="B26:C26"/>
    <mergeCell ref="B27:C27"/>
    <mergeCell ref="B28:C28"/>
    <mergeCell ref="B20:C20"/>
    <mergeCell ref="E20:F20"/>
    <mergeCell ref="B21:C21"/>
    <mergeCell ref="E21:F21"/>
    <mergeCell ref="B22:C22"/>
    <mergeCell ref="E22:F22"/>
    <mergeCell ref="B17:C17"/>
    <mergeCell ref="E17:F17"/>
    <mergeCell ref="B18:C18"/>
    <mergeCell ref="E18:F18"/>
    <mergeCell ref="B19:C19"/>
    <mergeCell ref="E19:F19"/>
    <mergeCell ref="B14:C14"/>
    <mergeCell ref="E14:F14"/>
    <mergeCell ref="B15:C15"/>
    <mergeCell ref="E15:F15"/>
    <mergeCell ref="B16:C16"/>
    <mergeCell ref="E16:F16"/>
    <mergeCell ref="B11:C11"/>
    <mergeCell ref="E11:F11"/>
    <mergeCell ref="B12:C12"/>
    <mergeCell ref="E12:F12"/>
    <mergeCell ref="B13:C13"/>
    <mergeCell ref="E13:F13"/>
    <mergeCell ref="B10:C10"/>
    <mergeCell ref="E10:F10"/>
    <mergeCell ref="H10:I10"/>
    <mergeCell ref="K10:L10"/>
    <mergeCell ref="N10:O10"/>
    <mergeCell ref="Q10:R10"/>
    <mergeCell ref="B9:C9"/>
    <mergeCell ref="E9:F9"/>
    <mergeCell ref="H9:I9"/>
    <mergeCell ref="K9:L9"/>
    <mergeCell ref="N9:O9"/>
    <mergeCell ref="Q9:R9"/>
    <mergeCell ref="B8:C8"/>
    <mergeCell ref="E8:F8"/>
    <mergeCell ref="H8:I8"/>
    <mergeCell ref="K8:L8"/>
    <mergeCell ref="N8:O8"/>
    <mergeCell ref="Q8:R8"/>
    <mergeCell ref="B7:C7"/>
    <mergeCell ref="E7:F7"/>
    <mergeCell ref="H7:I7"/>
    <mergeCell ref="K7:L7"/>
    <mergeCell ref="N7:O7"/>
    <mergeCell ref="Q7:R7"/>
    <mergeCell ref="B6:C6"/>
    <mergeCell ref="E6:F6"/>
    <mergeCell ref="H6:I6"/>
    <mergeCell ref="K6:L6"/>
    <mergeCell ref="N6:O6"/>
    <mergeCell ref="Q6:R6"/>
    <mergeCell ref="B1:C5"/>
    <mergeCell ref="E1:F5"/>
    <mergeCell ref="H1:I5"/>
    <mergeCell ref="K1:L5"/>
    <mergeCell ref="N1:O5"/>
    <mergeCell ref="Q1:R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AB59-DF2A-499C-A9E2-B221BCF5AB33}">
  <sheetPr>
    <tabColor rgb="FFFF0000"/>
  </sheetPr>
  <dimension ref="A1:AS117"/>
  <sheetViews>
    <sheetView workbookViewId="0"/>
  </sheetViews>
  <sheetFormatPr baseColWidth="10" defaultColWidth="11.44140625" defaultRowHeight="13.9" x14ac:dyDescent="0.25"/>
  <cols>
    <col min="1" max="1" width="7.109375" style="7" customWidth="1"/>
    <col min="2" max="8" width="9.33203125" style="8" customWidth="1"/>
    <col min="9" max="9" width="14.44140625" style="8" customWidth="1"/>
    <col min="10" max="11" width="16.5546875" style="8" customWidth="1"/>
    <col min="12" max="12" width="16.5546875" style="38" customWidth="1"/>
    <col min="13" max="14" width="9.33203125" style="8" customWidth="1"/>
    <col min="15" max="15" width="15.33203125" style="8" bestFit="1" customWidth="1"/>
    <col min="16" max="16" width="9.33203125" style="8" customWidth="1"/>
    <col min="17" max="17" width="16.5546875" style="8" bestFit="1" customWidth="1"/>
    <col min="18" max="26" width="9.33203125" style="8" customWidth="1"/>
    <col min="27" max="27" width="11" style="8" customWidth="1"/>
    <col min="28" max="29" width="8.33203125" style="8" bestFit="1" customWidth="1"/>
    <col min="30" max="16384" width="11.44140625" style="8"/>
  </cols>
  <sheetData>
    <row r="1" spans="1:35" x14ac:dyDescent="0.25">
      <c r="A1" s="115" t="str">
        <f>Überblick!X117</f>
        <v/>
      </c>
      <c r="B1" s="116" t="s">
        <v>646</v>
      </c>
      <c r="L1" s="689" t="str">
        <f>Hochbauplanung!T1</f>
        <v>Version: 24.07.2023</v>
      </c>
      <c r="M1" s="689"/>
      <c r="N1" s="38" t="s">
        <v>106</v>
      </c>
      <c r="O1" s="38"/>
      <c r="P1" s="38">
        <v>100</v>
      </c>
      <c r="Q1" s="38">
        <v>2000</v>
      </c>
      <c r="Y1" s="38" t="s">
        <v>647</v>
      </c>
      <c r="Z1" s="38"/>
      <c r="AA1" s="38"/>
      <c r="AB1" s="38"/>
      <c r="AC1" s="38"/>
      <c r="AD1" s="38"/>
      <c r="AE1" s="38"/>
    </row>
    <row r="2" spans="1:35" x14ac:dyDescent="0.25">
      <c r="A2" s="116"/>
      <c r="J2" s="381" t="s">
        <v>120</v>
      </c>
      <c r="K2" s="759" t="str">
        <f>IF(Überblick!I2=0,"",Überblick!I2)</f>
        <v/>
      </c>
      <c r="L2" s="759"/>
      <c r="M2" s="759"/>
      <c r="N2" s="38"/>
      <c r="O2" s="38"/>
      <c r="P2" s="38"/>
      <c r="Q2" s="38"/>
      <c r="Y2" s="38"/>
      <c r="Z2" s="38"/>
      <c r="AA2" s="38"/>
      <c r="AB2" s="38"/>
      <c r="AC2" s="38"/>
      <c r="AD2" s="38"/>
      <c r="AE2" s="38"/>
    </row>
    <row r="3" spans="1:35" x14ac:dyDescent="0.25">
      <c r="A3" s="114" t="s">
        <v>16</v>
      </c>
      <c r="B3" s="9" t="s">
        <v>648</v>
      </c>
      <c r="J3" s="381" t="s">
        <v>27</v>
      </c>
      <c r="K3" s="759" t="str">
        <f>IF(Überblick!G29=0,"",Überblick!G29)</f>
        <v>Breite Straße, 10178 Berlin-Mitte (Los 2)</v>
      </c>
      <c r="L3" s="759"/>
      <c r="M3" s="759"/>
      <c r="N3" s="38"/>
      <c r="O3" s="38"/>
      <c r="P3" s="38"/>
      <c r="Q3" s="38"/>
      <c r="Y3" s="38"/>
      <c r="Z3" s="38"/>
      <c r="AA3" s="38"/>
      <c r="AB3" s="38"/>
      <c r="AC3" s="38"/>
      <c r="AD3" s="38"/>
      <c r="AE3" s="38"/>
    </row>
    <row r="4" spans="1:35" ht="14.55" thickBot="1" x14ac:dyDescent="0.3">
      <c r="J4" s="381" t="s">
        <v>20</v>
      </c>
      <c r="K4" s="759" t="str">
        <f>IF(Überblick!D19=0,"",Überblick!D19)</f>
        <v/>
      </c>
      <c r="L4" s="759"/>
      <c r="M4" s="759"/>
      <c r="N4" s="38" t="s">
        <v>107</v>
      </c>
      <c r="Y4" s="38" t="s">
        <v>649</v>
      </c>
    </row>
    <row r="5" spans="1:35" ht="15.95" customHeight="1" x14ac:dyDescent="0.25">
      <c r="A5" s="141"/>
      <c r="B5" s="1619" t="s">
        <v>650</v>
      </c>
      <c r="C5" s="1527"/>
      <c r="D5" s="1527"/>
      <c r="E5" s="1527"/>
      <c r="F5" s="1527"/>
      <c r="G5" s="1527"/>
      <c r="H5" s="1527"/>
      <c r="I5" s="1483" t="s">
        <v>561</v>
      </c>
      <c r="J5" s="1483" t="s">
        <v>169</v>
      </c>
      <c r="K5" s="1558" t="s">
        <v>170</v>
      </c>
      <c r="O5" s="123"/>
      <c r="P5" s="75"/>
      <c r="Q5" s="75"/>
      <c r="R5" s="75"/>
      <c r="S5" s="37"/>
      <c r="T5" s="37"/>
      <c r="U5" s="37"/>
      <c r="V5" s="39"/>
      <c r="W5" s="78"/>
      <c r="X5" s="78"/>
      <c r="Y5" s="35"/>
      <c r="Z5" s="35"/>
      <c r="AA5" s="35"/>
      <c r="AB5" s="35"/>
      <c r="AC5" s="35"/>
      <c r="AD5" s="35"/>
      <c r="AE5" s="35"/>
      <c r="AF5" s="35"/>
      <c r="AG5" s="35"/>
    </row>
    <row r="6" spans="1:35" ht="15.95" customHeight="1" x14ac:dyDescent="0.25">
      <c r="A6" s="141"/>
      <c r="B6" s="1620"/>
      <c r="C6" s="1528"/>
      <c r="D6" s="1528"/>
      <c r="E6" s="1528"/>
      <c r="F6" s="1528"/>
      <c r="G6" s="1528"/>
      <c r="H6" s="1528"/>
      <c r="I6" s="1484"/>
      <c r="J6" s="1484"/>
      <c r="K6" s="1559"/>
      <c r="O6" s="123"/>
      <c r="P6" s="75"/>
      <c r="Q6" s="75"/>
      <c r="R6" s="75"/>
      <c r="S6" s="37"/>
      <c r="T6" s="37"/>
      <c r="U6" s="37"/>
      <c r="V6" s="39"/>
      <c r="W6" s="39"/>
      <c r="X6" s="47"/>
      <c r="Y6" s="35"/>
      <c r="Z6" s="35"/>
      <c r="AA6" s="35"/>
      <c r="AB6" s="35"/>
      <c r="AC6" s="35"/>
      <c r="AD6" s="35"/>
      <c r="AE6" s="35"/>
      <c r="AF6" s="35"/>
      <c r="AG6" s="35"/>
    </row>
    <row r="7" spans="1:35" ht="15" customHeight="1" x14ac:dyDescent="0.25">
      <c r="A7" s="141"/>
      <c r="B7" s="1620"/>
      <c r="C7" s="1528"/>
      <c r="D7" s="1528"/>
      <c r="E7" s="1528"/>
      <c r="F7" s="1528"/>
      <c r="G7" s="1528"/>
      <c r="H7" s="1528"/>
      <c r="I7" s="1698"/>
      <c r="J7" s="1698"/>
      <c r="K7" s="1697"/>
      <c r="O7" s="123"/>
      <c r="P7" s="75"/>
      <c r="Q7" s="75"/>
      <c r="R7" s="75"/>
      <c r="S7" s="37"/>
      <c r="T7" s="37"/>
      <c r="U7" s="37"/>
      <c r="V7" s="39"/>
      <c r="W7" s="39"/>
      <c r="X7" s="47"/>
      <c r="Y7" s="35"/>
      <c r="Z7" s="35"/>
      <c r="AA7" s="35"/>
      <c r="AB7" s="35"/>
      <c r="AC7" s="35"/>
      <c r="AD7" s="35"/>
      <c r="AE7" s="35"/>
      <c r="AF7" s="35"/>
      <c r="AG7" s="35"/>
      <c r="AH7" s="35"/>
      <c r="AI7" s="35"/>
    </row>
    <row r="8" spans="1:35" ht="15" customHeight="1" x14ac:dyDescent="0.25">
      <c r="A8" s="141"/>
      <c r="B8" s="1466"/>
      <c r="C8" s="1467"/>
      <c r="D8" s="1467"/>
      <c r="E8" s="1467"/>
      <c r="F8" s="1467"/>
      <c r="G8" s="1467"/>
      <c r="H8" s="1467"/>
      <c r="I8" s="1365"/>
      <c r="J8" s="1601" t="str">
        <f>IFERROR(IF((VLOOKUP(K8,Überblick!$M$124:$N$133,2))="ja","ja","nein"),"")</f>
        <v/>
      </c>
      <c r="K8" s="1515"/>
      <c r="L8" s="38">
        <f>IF(B8&gt;0,1,0)</f>
        <v>0</v>
      </c>
      <c r="O8" s="38"/>
      <c r="P8" s="134"/>
      <c r="T8" s="135"/>
      <c r="U8" s="135"/>
      <c r="V8" s="135"/>
      <c r="W8" s="135"/>
      <c r="X8" s="135"/>
      <c r="Y8" s="135"/>
      <c r="Z8" s="135"/>
      <c r="AA8" s="35"/>
      <c r="AB8" s="35"/>
    </row>
    <row r="9" spans="1:35" ht="15.95" customHeight="1" x14ac:dyDescent="0.25">
      <c r="A9" s="141"/>
      <c r="B9" s="1466"/>
      <c r="C9" s="1467"/>
      <c r="D9" s="1467"/>
      <c r="E9" s="1467"/>
      <c r="F9" s="1467"/>
      <c r="G9" s="1467"/>
      <c r="H9" s="1467"/>
      <c r="I9" s="1419"/>
      <c r="J9" s="1507"/>
      <c r="K9" s="1510"/>
      <c r="O9" s="38"/>
      <c r="T9" s="135"/>
      <c r="U9" s="135"/>
      <c r="V9" s="135"/>
      <c r="W9" s="135"/>
      <c r="X9" s="135"/>
      <c r="Y9" s="135"/>
      <c r="Z9" s="135"/>
      <c r="AA9" s="35"/>
      <c r="AB9" s="35"/>
    </row>
    <row r="10" spans="1:35" ht="14.25" customHeight="1" x14ac:dyDescent="0.25">
      <c r="A10" s="141"/>
      <c r="B10" s="1466"/>
      <c r="C10" s="1467"/>
      <c r="D10" s="1467"/>
      <c r="E10" s="1467"/>
      <c r="F10" s="1467"/>
      <c r="G10" s="1467"/>
      <c r="H10" s="1467"/>
      <c r="I10" s="1365"/>
      <c r="J10" s="1601" t="str">
        <f>IFERROR(IF((VLOOKUP(K10,Überblick!$M$124:$N$133,2))="ja","ja","nein"),"")</f>
        <v/>
      </c>
      <c r="K10" s="1515"/>
      <c r="L10" s="38">
        <f>IF(B10&gt;0,1,0)</f>
        <v>0</v>
      </c>
      <c r="O10" s="38"/>
      <c r="P10" s="134"/>
      <c r="T10" s="135"/>
      <c r="U10" s="135"/>
      <c r="V10" s="135"/>
      <c r="W10" s="135"/>
      <c r="X10" s="135"/>
      <c r="Y10" s="135"/>
      <c r="Z10" s="135"/>
      <c r="AA10" s="40"/>
      <c r="AB10" s="35"/>
    </row>
    <row r="11" spans="1:35" ht="15" customHeight="1" x14ac:dyDescent="0.25">
      <c r="A11" s="141"/>
      <c r="B11" s="1466"/>
      <c r="C11" s="1467"/>
      <c r="D11" s="1467"/>
      <c r="E11" s="1467"/>
      <c r="F11" s="1467"/>
      <c r="G11" s="1467"/>
      <c r="H11" s="1467"/>
      <c r="I11" s="1419"/>
      <c r="J11" s="1507"/>
      <c r="K11" s="1510"/>
      <c r="O11" s="38"/>
      <c r="T11" s="135"/>
      <c r="U11" s="135"/>
      <c r="V11" s="135"/>
      <c r="W11" s="135"/>
      <c r="X11" s="135"/>
      <c r="Y11" s="135"/>
      <c r="Z11" s="135"/>
      <c r="AA11" s="40"/>
      <c r="AB11" s="35"/>
    </row>
    <row r="12" spans="1:35" ht="13.6" customHeight="1" x14ac:dyDescent="0.25">
      <c r="A12" s="141"/>
      <c r="B12" s="1466"/>
      <c r="C12" s="1467"/>
      <c r="D12" s="1467"/>
      <c r="E12" s="1467"/>
      <c r="F12" s="1467"/>
      <c r="G12" s="1467"/>
      <c r="H12" s="1467"/>
      <c r="I12" s="1365"/>
      <c r="J12" s="1601" t="str">
        <f>IFERROR(IF((VLOOKUP(K12,Überblick!$M$124:$N$133,2))="ja","ja","nein"),"")</f>
        <v/>
      </c>
      <c r="K12" s="1515"/>
      <c r="L12" s="38">
        <f>IF(B12&gt;0,1,0)</f>
        <v>0</v>
      </c>
      <c r="O12" s="38"/>
      <c r="P12" s="134"/>
      <c r="T12" s="135"/>
      <c r="U12" s="135"/>
      <c r="V12" s="135"/>
      <c r="W12" s="135"/>
      <c r="X12" s="135"/>
      <c r="Y12" s="135"/>
      <c r="Z12" s="135"/>
      <c r="AA12" s="40"/>
      <c r="AB12" s="35"/>
    </row>
    <row r="13" spans="1:35" ht="13.6" customHeight="1" x14ac:dyDescent="0.25">
      <c r="A13" s="141"/>
      <c r="B13" s="1466"/>
      <c r="C13" s="1467"/>
      <c r="D13" s="1467"/>
      <c r="E13" s="1467"/>
      <c r="F13" s="1467"/>
      <c r="G13" s="1467"/>
      <c r="H13" s="1467"/>
      <c r="I13" s="1419"/>
      <c r="J13" s="1507"/>
      <c r="K13" s="1510"/>
      <c r="O13" s="38"/>
      <c r="T13" s="135"/>
      <c r="U13" s="135"/>
      <c r="V13" s="135"/>
      <c r="W13" s="135"/>
      <c r="X13" s="135"/>
      <c r="Y13" s="135"/>
      <c r="Z13" s="135"/>
      <c r="AA13" s="40"/>
      <c r="AB13" s="35"/>
    </row>
    <row r="14" spans="1:35" ht="15.95" customHeight="1" x14ac:dyDescent="0.25">
      <c r="A14" s="141"/>
      <c r="B14" s="1466"/>
      <c r="C14" s="1467"/>
      <c r="D14" s="1467"/>
      <c r="E14" s="1467"/>
      <c r="F14" s="1467"/>
      <c r="G14" s="1467"/>
      <c r="H14" s="1467"/>
      <c r="I14" s="1365"/>
      <c r="J14" s="1601" t="str">
        <f>IFERROR(IF((VLOOKUP(K14,Überblick!$M$124:$N$133,2))="ja","ja","nein"),"")</f>
        <v/>
      </c>
      <c r="K14" s="1515"/>
      <c r="L14" s="38">
        <f>IF(B14&gt;0,1,0)</f>
        <v>0</v>
      </c>
      <c r="O14" s="38"/>
      <c r="P14" s="134"/>
      <c r="T14" s="135"/>
      <c r="U14" s="135"/>
      <c r="V14" s="135"/>
      <c r="W14" s="135"/>
      <c r="X14" s="135"/>
      <c r="Y14" s="135"/>
      <c r="Z14" s="135"/>
      <c r="AA14" s="40"/>
      <c r="AB14" s="35"/>
    </row>
    <row r="15" spans="1:35" ht="15.95" customHeight="1" x14ac:dyDescent="0.25">
      <c r="A15" s="141"/>
      <c r="B15" s="1466"/>
      <c r="C15" s="1467"/>
      <c r="D15" s="1467"/>
      <c r="E15" s="1467"/>
      <c r="F15" s="1467"/>
      <c r="G15" s="1467"/>
      <c r="H15" s="1467"/>
      <c r="I15" s="1419"/>
      <c r="J15" s="1507"/>
      <c r="K15" s="1510"/>
      <c r="O15" s="38"/>
      <c r="T15" s="135"/>
      <c r="U15" s="135"/>
      <c r="V15" s="135"/>
      <c r="W15" s="135"/>
      <c r="X15" s="135"/>
      <c r="Y15" s="135"/>
      <c r="Z15" s="135"/>
      <c r="AA15" s="40"/>
      <c r="AB15" s="35"/>
    </row>
    <row r="16" spans="1:35" ht="14.25" customHeight="1" x14ac:dyDescent="0.25">
      <c r="A16" s="141"/>
      <c r="B16" s="1466"/>
      <c r="C16" s="1467"/>
      <c r="D16" s="1467"/>
      <c r="E16" s="1467"/>
      <c r="F16" s="1467"/>
      <c r="G16" s="1467"/>
      <c r="H16" s="1467"/>
      <c r="I16" s="1365"/>
      <c r="J16" s="1601" t="str">
        <f>IFERROR(IF((VLOOKUP(K16,Überblick!$M$124:$N$133,2))="ja","ja","nein"),"")</f>
        <v/>
      </c>
      <c r="K16" s="1515"/>
      <c r="L16" s="38">
        <f>IF(B16&gt;0,1,0)</f>
        <v>0</v>
      </c>
      <c r="O16" s="38"/>
      <c r="P16" s="134"/>
      <c r="T16" s="135"/>
      <c r="U16" s="135"/>
      <c r="V16" s="135"/>
      <c r="W16" s="135"/>
      <c r="X16" s="135"/>
      <c r="Y16" s="135"/>
      <c r="Z16" s="135"/>
      <c r="AA16" s="41"/>
      <c r="AB16" s="119"/>
    </row>
    <row r="17" spans="1:28" ht="14.25" customHeight="1" x14ac:dyDescent="0.25">
      <c r="A17" s="141"/>
      <c r="B17" s="1466"/>
      <c r="C17" s="1467"/>
      <c r="D17" s="1467"/>
      <c r="E17" s="1467"/>
      <c r="F17" s="1467"/>
      <c r="G17" s="1467"/>
      <c r="H17" s="1467"/>
      <c r="I17" s="1419"/>
      <c r="J17" s="1507"/>
      <c r="K17" s="1510"/>
      <c r="O17" s="38"/>
      <c r="T17" s="135"/>
      <c r="U17" s="135"/>
      <c r="V17" s="135"/>
      <c r="W17" s="135"/>
      <c r="X17" s="135"/>
      <c r="Y17" s="135"/>
      <c r="Z17" s="135"/>
      <c r="AA17" s="40"/>
      <c r="AB17" s="35"/>
    </row>
    <row r="18" spans="1:28" ht="14.25" customHeight="1" x14ac:dyDescent="0.25">
      <c r="A18" s="141"/>
      <c r="B18" s="1466"/>
      <c r="C18" s="1467"/>
      <c r="D18" s="1467"/>
      <c r="E18" s="1467"/>
      <c r="F18" s="1467"/>
      <c r="G18" s="1467"/>
      <c r="H18" s="1467"/>
      <c r="I18" s="1365"/>
      <c r="J18" s="1601" t="str">
        <f>IFERROR(IF((VLOOKUP(K18,Überblick!$M$124:$N$133,2))="ja","ja","nein"),"")</f>
        <v/>
      </c>
      <c r="K18" s="1515"/>
      <c r="L18" s="38">
        <f>IF(B18&gt;0,1,0)</f>
        <v>0</v>
      </c>
      <c r="O18" s="38"/>
      <c r="P18" s="259"/>
      <c r="T18" s="135"/>
      <c r="U18" s="135"/>
      <c r="V18" s="135"/>
      <c r="W18" s="135"/>
      <c r="X18" s="135"/>
      <c r="Y18" s="135"/>
      <c r="Z18" s="135"/>
      <c r="AA18" s="40"/>
      <c r="AB18" s="35"/>
    </row>
    <row r="19" spans="1:28" ht="14.25" customHeight="1" x14ac:dyDescent="0.25">
      <c r="A19" s="141"/>
      <c r="B19" s="1466"/>
      <c r="C19" s="1467"/>
      <c r="D19" s="1467"/>
      <c r="E19" s="1467"/>
      <c r="F19" s="1467"/>
      <c r="G19" s="1467"/>
      <c r="H19" s="1467"/>
      <c r="I19" s="1419"/>
      <c r="J19" s="1507"/>
      <c r="K19" s="1510"/>
      <c r="O19" s="38"/>
      <c r="T19" s="135"/>
      <c r="U19" s="135"/>
      <c r="V19" s="135"/>
      <c r="W19" s="135"/>
      <c r="X19" s="135"/>
      <c r="Y19" s="135"/>
      <c r="Z19" s="135"/>
      <c r="AA19" s="40"/>
      <c r="AB19" s="35"/>
    </row>
    <row r="20" spans="1:28" ht="14.25" customHeight="1" x14ac:dyDescent="0.25">
      <c r="A20" s="141"/>
      <c r="B20" s="1466"/>
      <c r="C20" s="1467"/>
      <c r="D20" s="1467"/>
      <c r="E20" s="1467"/>
      <c r="F20" s="1467"/>
      <c r="G20" s="1467"/>
      <c r="H20" s="1467"/>
      <c r="I20" s="1365"/>
      <c r="J20" s="1601" t="str">
        <f>IFERROR(IF((VLOOKUP(K20,Überblick!$M$124:$N$133,2))="ja","ja","nein"),"")</f>
        <v/>
      </c>
      <c r="K20" s="1515"/>
      <c r="L20" s="38">
        <f>IF(B20&gt;0,1,0)</f>
        <v>0</v>
      </c>
      <c r="O20" s="38"/>
      <c r="P20" s="259"/>
      <c r="T20" s="135"/>
      <c r="U20" s="135"/>
      <c r="V20" s="135"/>
      <c r="W20" s="135"/>
      <c r="X20" s="135"/>
      <c r="Y20" s="135"/>
      <c r="Z20" s="135"/>
      <c r="AA20" s="40"/>
      <c r="AB20" s="35"/>
    </row>
    <row r="21" spans="1:28" ht="14.25" customHeight="1" x14ac:dyDescent="0.25">
      <c r="A21" s="141"/>
      <c r="B21" s="1466"/>
      <c r="C21" s="1467"/>
      <c r="D21" s="1467"/>
      <c r="E21" s="1467"/>
      <c r="F21" s="1467"/>
      <c r="G21" s="1467"/>
      <c r="H21" s="1467"/>
      <c r="I21" s="1419"/>
      <c r="J21" s="1507"/>
      <c r="K21" s="1510"/>
      <c r="O21" s="38"/>
      <c r="T21" s="135"/>
      <c r="U21" s="135"/>
      <c r="V21" s="135"/>
      <c r="W21" s="135"/>
      <c r="X21" s="135"/>
      <c r="Y21" s="135"/>
      <c r="Z21" s="135"/>
      <c r="AA21" s="40"/>
      <c r="AB21" s="35"/>
    </row>
    <row r="22" spans="1:28" ht="14.25" customHeight="1" x14ac:dyDescent="0.25">
      <c r="A22" s="141"/>
      <c r="B22" s="1466"/>
      <c r="C22" s="1467"/>
      <c r="D22" s="1467"/>
      <c r="E22" s="1467"/>
      <c r="F22" s="1467"/>
      <c r="G22" s="1467"/>
      <c r="H22" s="1467"/>
      <c r="I22" s="1365"/>
      <c r="J22" s="1601" t="str">
        <f>IFERROR(IF((VLOOKUP(K22,Überblick!$M$124:$N$133,2))="ja","ja","nein"),"")</f>
        <v/>
      </c>
      <c r="K22" s="1515"/>
      <c r="L22" s="38">
        <f>IF(B22&gt;0,1,0)</f>
        <v>0</v>
      </c>
      <c r="O22" s="38"/>
      <c r="P22" s="259"/>
      <c r="T22" s="135"/>
      <c r="U22" s="135"/>
      <c r="V22" s="135"/>
      <c r="W22" s="135"/>
      <c r="X22" s="135"/>
      <c r="Y22" s="135"/>
      <c r="Z22" s="135"/>
      <c r="AA22" s="40"/>
      <c r="AB22" s="35"/>
    </row>
    <row r="23" spans="1:28" ht="14.25" customHeight="1" x14ac:dyDescent="0.25">
      <c r="A23" s="141"/>
      <c r="B23" s="1466"/>
      <c r="C23" s="1467"/>
      <c r="D23" s="1467"/>
      <c r="E23" s="1467"/>
      <c r="F23" s="1467"/>
      <c r="G23" s="1467"/>
      <c r="H23" s="1467"/>
      <c r="I23" s="1419"/>
      <c r="J23" s="1507"/>
      <c r="K23" s="1510"/>
      <c r="O23" s="38"/>
      <c r="T23" s="135"/>
      <c r="U23" s="135"/>
      <c r="V23" s="135"/>
      <c r="W23" s="135"/>
      <c r="X23" s="135"/>
      <c r="Y23" s="135"/>
      <c r="Z23" s="135"/>
      <c r="AA23" s="40"/>
      <c r="AB23" s="35"/>
    </row>
    <row r="24" spans="1:28" ht="14.25" customHeight="1" x14ac:dyDescent="0.25">
      <c r="A24" s="141"/>
      <c r="B24" s="1466"/>
      <c r="C24" s="1467"/>
      <c r="D24" s="1467"/>
      <c r="E24" s="1467"/>
      <c r="F24" s="1467"/>
      <c r="G24" s="1467"/>
      <c r="H24" s="1467"/>
      <c r="I24" s="1365"/>
      <c r="J24" s="1601" t="str">
        <f>IFERROR(IF((VLOOKUP(K24,Überblick!$M$124:$N$133,2))="ja","ja","nein"),"")</f>
        <v/>
      </c>
      <c r="K24" s="1515"/>
      <c r="L24" s="38">
        <f>IF(B24&gt;0,1,0)</f>
        <v>0</v>
      </c>
      <c r="O24" s="38"/>
      <c r="P24" s="259"/>
      <c r="T24" s="135"/>
      <c r="U24" s="135"/>
      <c r="V24" s="135"/>
      <c r="W24" s="135"/>
      <c r="X24" s="135"/>
      <c r="Y24" s="135"/>
      <c r="Z24" s="135"/>
      <c r="AA24" s="40"/>
      <c r="AB24" s="35"/>
    </row>
    <row r="25" spans="1:28" ht="14.25" customHeight="1" x14ac:dyDescent="0.25">
      <c r="A25" s="141"/>
      <c r="B25" s="1466"/>
      <c r="C25" s="1467"/>
      <c r="D25" s="1467"/>
      <c r="E25" s="1467"/>
      <c r="F25" s="1467"/>
      <c r="G25" s="1467"/>
      <c r="H25" s="1467"/>
      <c r="I25" s="1419"/>
      <c r="J25" s="1507"/>
      <c r="K25" s="1510"/>
      <c r="O25" s="38"/>
      <c r="T25" s="135"/>
      <c r="U25" s="135"/>
      <c r="V25" s="135"/>
      <c r="W25" s="135"/>
      <c r="X25" s="135"/>
      <c r="Y25" s="135"/>
      <c r="Z25" s="135"/>
      <c r="AA25" s="40"/>
      <c r="AB25" s="35"/>
    </row>
    <row r="26" spans="1:28" ht="14.25" customHeight="1" x14ac:dyDescent="0.25">
      <c r="A26" s="141"/>
      <c r="B26" s="1466"/>
      <c r="C26" s="1467"/>
      <c r="D26" s="1467"/>
      <c r="E26" s="1467"/>
      <c r="F26" s="1467"/>
      <c r="G26" s="1467"/>
      <c r="H26" s="1467"/>
      <c r="I26" s="1365"/>
      <c r="J26" s="1601" t="str">
        <f>IFERROR(IF((VLOOKUP(K26,Überblick!$M$124:$N$133,2))="ja","ja","nein"),"")</f>
        <v/>
      </c>
      <c r="K26" s="1515"/>
      <c r="L26" s="38">
        <f>IF(B26&gt;0,1,0)</f>
        <v>0</v>
      </c>
      <c r="O26" s="38"/>
      <c r="P26" s="259"/>
      <c r="T26" s="135"/>
      <c r="U26" s="135"/>
      <c r="V26" s="135"/>
      <c r="W26" s="135"/>
      <c r="X26" s="135"/>
      <c r="Y26" s="135"/>
      <c r="Z26" s="135"/>
      <c r="AA26" s="40"/>
      <c r="AB26" s="35"/>
    </row>
    <row r="27" spans="1:28" ht="14.25" customHeight="1" x14ac:dyDescent="0.25">
      <c r="A27" s="141"/>
      <c r="B27" s="1466"/>
      <c r="C27" s="1467"/>
      <c r="D27" s="1467"/>
      <c r="E27" s="1467"/>
      <c r="F27" s="1467"/>
      <c r="G27" s="1467"/>
      <c r="H27" s="1467"/>
      <c r="I27" s="1419"/>
      <c r="J27" s="1507"/>
      <c r="K27" s="1510"/>
      <c r="O27" s="38"/>
      <c r="T27" s="135"/>
      <c r="U27" s="135"/>
      <c r="V27" s="135"/>
      <c r="W27" s="135"/>
      <c r="X27" s="135"/>
      <c r="Y27" s="135"/>
      <c r="Z27" s="135"/>
      <c r="AA27" s="40"/>
      <c r="AB27" s="35"/>
    </row>
    <row r="28" spans="1:28" ht="14.25" customHeight="1" x14ac:dyDescent="0.25">
      <c r="A28" s="141"/>
      <c r="B28" s="1466"/>
      <c r="C28" s="1467"/>
      <c r="D28" s="1467"/>
      <c r="E28" s="1467"/>
      <c r="F28" s="1467"/>
      <c r="G28" s="1467"/>
      <c r="H28" s="1467"/>
      <c r="I28" s="1365"/>
      <c r="J28" s="1601" t="str">
        <f>IFERROR(IF((VLOOKUP(K28,Überblick!$M$124:$N$133,2))="ja","ja","nein"),"")</f>
        <v/>
      </c>
      <c r="K28" s="1515"/>
      <c r="L28" s="38">
        <f>IF(B28&gt;0,1,0)</f>
        <v>0</v>
      </c>
      <c r="O28" s="38"/>
      <c r="P28" s="259"/>
      <c r="T28" s="135"/>
      <c r="U28" s="135"/>
      <c r="V28" s="135"/>
      <c r="W28" s="135"/>
      <c r="X28" s="135"/>
      <c r="Y28" s="135"/>
      <c r="Z28" s="135"/>
      <c r="AA28" s="40"/>
      <c r="AB28" s="35"/>
    </row>
    <row r="29" spans="1:28" ht="14.25" customHeight="1" x14ac:dyDescent="0.25">
      <c r="A29" s="141"/>
      <c r="B29" s="1466"/>
      <c r="C29" s="1467"/>
      <c r="D29" s="1467"/>
      <c r="E29" s="1467"/>
      <c r="F29" s="1467"/>
      <c r="G29" s="1467"/>
      <c r="H29" s="1467"/>
      <c r="I29" s="1419"/>
      <c r="J29" s="1507"/>
      <c r="K29" s="1510"/>
      <c r="O29" s="38"/>
      <c r="T29" s="135"/>
      <c r="U29" s="135"/>
      <c r="V29" s="135"/>
      <c r="W29" s="135"/>
      <c r="X29" s="135"/>
      <c r="Y29" s="135"/>
      <c r="Z29" s="135"/>
      <c r="AA29" s="40"/>
      <c r="AB29" s="35"/>
    </row>
    <row r="30" spans="1:28" ht="14.25" customHeight="1" x14ac:dyDescent="0.25">
      <c r="A30" s="141"/>
      <c r="B30" s="1466"/>
      <c r="C30" s="1467"/>
      <c r="D30" s="1467"/>
      <c r="E30" s="1467"/>
      <c r="F30" s="1467"/>
      <c r="G30" s="1467"/>
      <c r="H30" s="1467"/>
      <c r="I30" s="1365"/>
      <c r="J30" s="1601" t="str">
        <f>IFERROR(IF((VLOOKUP(K30,Überblick!$M$124:$N$133,2))="ja","ja","nein"),"")</f>
        <v/>
      </c>
      <c r="K30" s="1515"/>
      <c r="L30" s="38">
        <f>IF(B30&gt;0,1,0)</f>
        <v>0</v>
      </c>
      <c r="O30" s="38"/>
      <c r="P30" s="259"/>
      <c r="T30" s="135"/>
      <c r="U30" s="135"/>
      <c r="V30" s="135"/>
      <c r="W30" s="135"/>
      <c r="X30" s="135"/>
      <c r="Y30" s="135"/>
      <c r="Z30" s="135"/>
      <c r="AA30" s="40"/>
      <c r="AB30" s="35"/>
    </row>
    <row r="31" spans="1:28" ht="14.25" customHeight="1" x14ac:dyDescent="0.25">
      <c r="A31" s="141"/>
      <c r="B31" s="1466"/>
      <c r="C31" s="1467"/>
      <c r="D31" s="1467"/>
      <c r="E31" s="1467"/>
      <c r="F31" s="1467"/>
      <c r="G31" s="1467"/>
      <c r="H31" s="1467"/>
      <c r="I31" s="1419"/>
      <c r="J31" s="1507"/>
      <c r="K31" s="1510"/>
      <c r="O31" s="38"/>
      <c r="T31" s="135"/>
      <c r="U31" s="135"/>
      <c r="V31" s="135"/>
      <c r="W31" s="135"/>
      <c r="X31" s="135"/>
      <c r="Y31" s="135"/>
      <c r="Z31" s="135"/>
      <c r="AA31" s="40"/>
      <c r="AB31" s="35"/>
    </row>
    <row r="32" spans="1:28" ht="14.25" customHeight="1" x14ac:dyDescent="0.25">
      <c r="A32" s="141"/>
      <c r="B32" s="1466"/>
      <c r="C32" s="1467"/>
      <c r="D32" s="1467"/>
      <c r="E32" s="1467"/>
      <c r="F32" s="1467"/>
      <c r="G32" s="1467"/>
      <c r="H32" s="1467"/>
      <c r="I32" s="1365"/>
      <c r="J32" s="1601" t="str">
        <f>IFERROR(IF((VLOOKUP(K32,Überblick!$M$124:$N$133,2))="ja","ja","nein"),"")</f>
        <v/>
      </c>
      <c r="K32" s="1515"/>
      <c r="L32" s="38">
        <f>IF(B32&gt;0,1,0)</f>
        <v>0</v>
      </c>
      <c r="O32" s="38"/>
      <c r="P32" s="259"/>
      <c r="T32" s="135"/>
      <c r="U32" s="135"/>
      <c r="V32" s="135"/>
      <c r="W32" s="135"/>
      <c r="X32" s="135"/>
      <c r="Y32" s="135"/>
      <c r="Z32" s="135"/>
      <c r="AA32" s="96"/>
      <c r="AB32" s="121"/>
    </row>
    <row r="33" spans="1:45" ht="14.25" customHeight="1" x14ac:dyDescent="0.25">
      <c r="A33" s="141"/>
      <c r="B33" s="1466"/>
      <c r="C33" s="1467"/>
      <c r="D33" s="1467"/>
      <c r="E33" s="1467"/>
      <c r="F33" s="1467"/>
      <c r="G33" s="1467"/>
      <c r="H33" s="1467"/>
      <c r="I33" s="1419"/>
      <c r="J33" s="1507"/>
      <c r="K33" s="1510"/>
      <c r="O33" s="38"/>
      <c r="T33" s="135"/>
      <c r="U33" s="135"/>
      <c r="V33" s="135"/>
      <c r="W33" s="135"/>
      <c r="X33" s="135"/>
      <c r="Y33" s="135"/>
      <c r="Z33" s="135"/>
      <c r="AA33" s="40"/>
      <c r="AB33" s="35"/>
      <c r="AN33" s="35"/>
      <c r="AO33" s="35"/>
      <c r="AP33" s="35"/>
      <c r="AQ33" s="35"/>
      <c r="AR33" s="35"/>
      <c r="AS33" s="35"/>
    </row>
    <row r="34" spans="1:45" ht="15" customHeight="1" x14ac:dyDescent="0.25">
      <c r="A34" s="141"/>
      <c r="B34" s="1466"/>
      <c r="C34" s="1467"/>
      <c r="D34" s="1467"/>
      <c r="E34" s="1467"/>
      <c r="F34" s="1467"/>
      <c r="G34" s="1467"/>
      <c r="H34" s="1467"/>
      <c r="I34" s="1365"/>
      <c r="J34" s="1601" t="str">
        <f>IFERROR(IF((VLOOKUP(K34,Überblick!$M$124:$N$133,2))="ja","ja","nein"),"")</f>
        <v/>
      </c>
      <c r="K34" s="1515"/>
      <c r="L34" s="38">
        <f>IF(B34&gt;0,1,0)</f>
        <v>0</v>
      </c>
      <c r="O34" s="38"/>
      <c r="P34" s="259"/>
      <c r="T34" s="135"/>
      <c r="U34" s="135"/>
      <c r="V34" s="135"/>
      <c r="W34" s="135"/>
      <c r="X34" s="135"/>
      <c r="Y34" s="135"/>
      <c r="Z34" s="135"/>
      <c r="AA34" s="40"/>
      <c r="AB34" s="35"/>
      <c r="AN34" s="35"/>
      <c r="AO34" s="35"/>
      <c r="AP34" s="35"/>
      <c r="AQ34" s="35"/>
      <c r="AR34" s="35"/>
      <c r="AS34" s="35"/>
    </row>
    <row r="35" spans="1:45" ht="14.25" customHeight="1" x14ac:dyDescent="0.25">
      <c r="A35" s="141"/>
      <c r="B35" s="1466"/>
      <c r="C35" s="1467"/>
      <c r="D35" s="1467"/>
      <c r="E35" s="1467"/>
      <c r="F35" s="1467"/>
      <c r="G35" s="1467"/>
      <c r="H35" s="1467"/>
      <c r="I35" s="1419"/>
      <c r="J35" s="1507"/>
      <c r="K35" s="1510"/>
      <c r="O35" s="38"/>
      <c r="T35" s="135"/>
      <c r="U35" s="135"/>
      <c r="V35" s="135"/>
      <c r="W35" s="135"/>
      <c r="X35" s="135"/>
      <c r="Y35" s="135"/>
      <c r="Z35" s="135"/>
      <c r="AA35" s="40"/>
      <c r="AB35" s="35"/>
      <c r="AN35" s="35"/>
      <c r="AO35" s="35"/>
      <c r="AP35" s="35"/>
      <c r="AQ35" s="35"/>
      <c r="AR35" s="35"/>
      <c r="AS35" s="35"/>
    </row>
    <row r="36" spans="1:45" ht="14.25" customHeight="1" x14ac:dyDescent="0.25">
      <c r="A36" s="141"/>
      <c r="B36" s="1466"/>
      <c r="C36" s="1467"/>
      <c r="D36" s="1467"/>
      <c r="E36" s="1467"/>
      <c r="F36" s="1467"/>
      <c r="G36" s="1467"/>
      <c r="H36" s="1467"/>
      <c r="I36" s="1365"/>
      <c r="J36" s="1601" t="str">
        <f>IFERROR(IF((VLOOKUP(K36,Überblick!$M$124:$N$133,2))="ja","ja","nein"),"")</f>
        <v/>
      </c>
      <c r="K36" s="1515"/>
      <c r="L36" s="38">
        <f>IF(B36&gt;0,1,0)</f>
        <v>0</v>
      </c>
      <c r="O36" s="38"/>
      <c r="T36" s="135"/>
      <c r="U36" s="135"/>
      <c r="V36" s="135"/>
      <c r="W36" s="135"/>
      <c r="X36" s="135"/>
      <c r="Y36" s="135"/>
      <c r="Z36" s="135"/>
      <c r="AA36" s="40"/>
      <c r="AB36" s="35"/>
      <c r="AN36" s="35"/>
      <c r="AO36" s="35"/>
      <c r="AP36" s="35"/>
      <c r="AQ36" s="35"/>
      <c r="AR36" s="35"/>
      <c r="AS36" s="35"/>
    </row>
    <row r="37" spans="1:45" ht="14.25" customHeight="1" x14ac:dyDescent="0.25">
      <c r="A37" s="141"/>
      <c r="B37" s="1466"/>
      <c r="C37" s="1467"/>
      <c r="D37" s="1467"/>
      <c r="E37" s="1467"/>
      <c r="F37" s="1467"/>
      <c r="G37" s="1467"/>
      <c r="H37" s="1467"/>
      <c r="I37" s="1419"/>
      <c r="J37" s="1507"/>
      <c r="K37" s="1510"/>
      <c r="O37" s="38"/>
      <c r="T37" s="135"/>
      <c r="U37" s="135"/>
      <c r="V37" s="135"/>
      <c r="W37" s="135"/>
      <c r="X37" s="135"/>
      <c r="Y37" s="135"/>
      <c r="Z37" s="135"/>
      <c r="AA37" s="40"/>
      <c r="AB37" s="35"/>
      <c r="AN37" s="35"/>
      <c r="AO37" s="35"/>
      <c r="AP37" s="35"/>
      <c r="AQ37" s="35"/>
      <c r="AR37" s="35"/>
      <c r="AS37" s="35"/>
    </row>
    <row r="38" spans="1:45" ht="14.25" customHeight="1" x14ac:dyDescent="0.25">
      <c r="A38" s="141"/>
      <c r="B38" s="1466"/>
      <c r="C38" s="1467"/>
      <c r="D38" s="1467"/>
      <c r="E38" s="1467"/>
      <c r="F38" s="1467"/>
      <c r="G38" s="1467"/>
      <c r="H38" s="1467"/>
      <c r="I38" s="1365"/>
      <c r="J38" s="1601" t="str">
        <f>IFERROR(IF((VLOOKUP(K38,Überblick!$M$124:$N$133,2))="ja","ja","nein"),"")</f>
        <v/>
      </c>
      <c r="K38" s="1515"/>
      <c r="L38" s="38">
        <f>IF(B38&gt;0,1,0)</f>
        <v>0</v>
      </c>
      <c r="O38" s="38"/>
      <c r="T38" s="135"/>
      <c r="U38" s="135"/>
      <c r="V38" s="135"/>
      <c r="W38" s="135"/>
      <c r="X38" s="135"/>
      <c r="Y38" s="135"/>
      <c r="Z38" s="135"/>
      <c r="AA38" s="40"/>
      <c r="AB38" s="35"/>
      <c r="AN38" s="35"/>
      <c r="AO38" s="35"/>
      <c r="AP38" s="35"/>
      <c r="AQ38" s="35"/>
      <c r="AR38" s="35"/>
      <c r="AS38" s="35"/>
    </row>
    <row r="39" spans="1:45" ht="14.25" customHeight="1" x14ac:dyDescent="0.25">
      <c r="A39" s="141"/>
      <c r="B39" s="1466"/>
      <c r="C39" s="1467"/>
      <c r="D39" s="1467"/>
      <c r="E39" s="1467"/>
      <c r="F39" s="1467"/>
      <c r="G39" s="1467"/>
      <c r="H39" s="1467"/>
      <c r="I39" s="1419"/>
      <c r="J39" s="1507"/>
      <c r="K39" s="1510"/>
      <c r="O39" s="38"/>
      <c r="T39" s="135"/>
      <c r="U39" s="135"/>
      <c r="V39" s="135"/>
      <c r="W39" s="135"/>
      <c r="X39" s="135"/>
      <c r="Y39" s="135"/>
      <c r="Z39" s="135"/>
      <c r="AA39" s="40"/>
      <c r="AB39" s="35"/>
      <c r="AN39" s="35"/>
      <c r="AO39" s="35"/>
      <c r="AP39" s="35"/>
      <c r="AQ39" s="35"/>
      <c r="AR39" s="35"/>
      <c r="AS39" s="35"/>
    </row>
    <row r="40" spans="1:45" ht="14.25" customHeight="1" x14ac:dyDescent="0.25">
      <c r="A40" s="141"/>
      <c r="B40" s="1466"/>
      <c r="C40" s="1467"/>
      <c r="D40" s="1467"/>
      <c r="E40" s="1467"/>
      <c r="F40" s="1467"/>
      <c r="G40" s="1467"/>
      <c r="H40" s="1467"/>
      <c r="I40" s="1365"/>
      <c r="J40" s="1601" t="str">
        <f>IFERROR(IF((VLOOKUP(K40,Überblick!$M$124:$N$133,2))="ja","ja","nein"),"")</f>
        <v/>
      </c>
      <c r="K40" s="1515"/>
      <c r="L40" s="38">
        <f>IF(B40&gt;0,1,0)</f>
        <v>0</v>
      </c>
      <c r="O40" s="38"/>
      <c r="T40" s="135"/>
      <c r="U40" s="135"/>
      <c r="V40" s="135"/>
      <c r="W40" s="135"/>
      <c r="X40" s="135"/>
      <c r="Y40" s="135"/>
      <c r="Z40" s="135"/>
      <c r="AA40" s="40"/>
      <c r="AB40" s="35"/>
      <c r="AN40" s="35"/>
      <c r="AO40" s="35"/>
      <c r="AP40" s="35"/>
      <c r="AQ40" s="35"/>
      <c r="AR40" s="35"/>
      <c r="AS40" s="35"/>
    </row>
    <row r="41" spans="1:45" ht="14.25" customHeight="1" x14ac:dyDescent="0.25">
      <c r="A41" s="141"/>
      <c r="B41" s="1466"/>
      <c r="C41" s="1467"/>
      <c r="D41" s="1467"/>
      <c r="E41" s="1467"/>
      <c r="F41" s="1467"/>
      <c r="G41" s="1467"/>
      <c r="H41" s="1467"/>
      <c r="I41" s="1419"/>
      <c r="J41" s="1507"/>
      <c r="K41" s="1510"/>
      <c r="O41" s="38"/>
      <c r="T41" s="135"/>
      <c r="U41" s="135"/>
      <c r="V41" s="135"/>
      <c r="W41" s="135"/>
      <c r="X41" s="135"/>
      <c r="Y41" s="135"/>
      <c r="Z41" s="135"/>
      <c r="AA41" s="40"/>
      <c r="AB41" s="35"/>
      <c r="AN41" s="35"/>
      <c r="AO41" s="35"/>
      <c r="AP41" s="35"/>
      <c r="AQ41" s="35"/>
      <c r="AR41" s="35"/>
      <c r="AS41" s="35"/>
    </row>
    <row r="42" spans="1:45" ht="14.25" customHeight="1" x14ac:dyDescent="0.25">
      <c r="A42" s="141"/>
      <c r="B42" s="1466"/>
      <c r="C42" s="1467"/>
      <c r="D42" s="1467"/>
      <c r="E42" s="1467"/>
      <c r="F42" s="1467"/>
      <c r="G42" s="1467"/>
      <c r="H42" s="1467"/>
      <c r="I42" s="1365"/>
      <c r="J42" s="1601" t="str">
        <f>IFERROR(IF((VLOOKUP(K42,Überblick!$M$124:$N$133,2))="ja","ja","nein"),"")</f>
        <v/>
      </c>
      <c r="K42" s="1515"/>
      <c r="L42" s="38">
        <f>IF(B42&gt;0,1,0)</f>
        <v>0</v>
      </c>
      <c r="O42" s="38"/>
      <c r="P42" s="259"/>
      <c r="T42" s="135"/>
      <c r="U42" s="135"/>
      <c r="V42" s="135"/>
      <c r="W42" s="135"/>
      <c r="X42" s="135"/>
      <c r="Y42" s="135"/>
      <c r="Z42" s="135"/>
      <c r="AA42" s="40"/>
      <c r="AB42" s="35"/>
      <c r="AN42" s="35"/>
      <c r="AO42" s="35"/>
      <c r="AP42" s="35"/>
      <c r="AQ42" s="35"/>
      <c r="AR42" s="35"/>
      <c r="AS42" s="35"/>
    </row>
    <row r="43" spans="1:45" ht="14.25" customHeight="1" x14ac:dyDescent="0.25">
      <c r="A43" s="141"/>
      <c r="B43" s="1466"/>
      <c r="C43" s="1467"/>
      <c r="D43" s="1467"/>
      <c r="E43" s="1467"/>
      <c r="F43" s="1467"/>
      <c r="G43" s="1467"/>
      <c r="H43" s="1467"/>
      <c r="I43" s="1419"/>
      <c r="J43" s="1507"/>
      <c r="K43" s="1510"/>
      <c r="O43" s="38"/>
      <c r="T43" s="135"/>
      <c r="U43" s="135"/>
      <c r="V43" s="135"/>
      <c r="W43" s="135"/>
      <c r="X43" s="135"/>
      <c r="Y43" s="135"/>
      <c r="Z43" s="135"/>
      <c r="AA43" s="40"/>
      <c r="AB43" s="35"/>
      <c r="AN43" s="35"/>
      <c r="AO43" s="35"/>
      <c r="AP43" s="35"/>
      <c r="AQ43" s="35"/>
      <c r="AR43" s="35"/>
      <c r="AS43" s="35"/>
    </row>
    <row r="44" spans="1:45" ht="14.25" customHeight="1" x14ac:dyDescent="0.25">
      <c r="A44" s="141"/>
      <c r="B44" s="1516"/>
      <c r="C44" s="1517"/>
      <c r="D44" s="1517"/>
      <c r="E44" s="1517"/>
      <c r="F44" s="1517"/>
      <c r="G44" s="1517"/>
      <c r="H44" s="1517"/>
      <c r="I44" s="1365"/>
      <c r="J44" s="1601" t="str">
        <f>IFERROR(IF((VLOOKUP(K44,Überblick!$M$124:$N$133,2))="ja","ja","nein"),"")</f>
        <v/>
      </c>
      <c r="K44" s="1515"/>
      <c r="L44" s="38">
        <f>IF(B44&gt;0,1,0)</f>
        <v>0</v>
      </c>
      <c r="O44" s="38"/>
      <c r="P44" s="259"/>
      <c r="T44" s="135"/>
      <c r="U44" s="135"/>
      <c r="V44" s="135"/>
      <c r="W44" s="135"/>
      <c r="X44" s="135"/>
      <c r="Y44" s="135"/>
      <c r="Z44" s="135"/>
      <c r="AA44" s="135"/>
      <c r="AB44" s="135"/>
      <c r="AC44" s="135"/>
      <c r="AD44" s="135"/>
      <c r="AN44" s="35"/>
      <c r="AO44" s="35"/>
      <c r="AP44" s="35"/>
      <c r="AQ44" s="35"/>
      <c r="AR44" s="35"/>
      <c r="AS44" s="35"/>
    </row>
    <row r="45" spans="1:45" ht="14.25" customHeight="1" x14ac:dyDescent="0.25">
      <c r="A45" s="141"/>
      <c r="B45" s="1466"/>
      <c r="C45" s="1467"/>
      <c r="D45" s="1467"/>
      <c r="E45" s="1467"/>
      <c r="F45" s="1467"/>
      <c r="G45" s="1467"/>
      <c r="H45" s="1467"/>
      <c r="I45" s="1419"/>
      <c r="J45" s="1507"/>
      <c r="K45" s="1510"/>
      <c r="O45" s="38"/>
      <c r="T45" s="135"/>
      <c r="U45" s="135"/>
      <c r="V45" s="135"/>
      <c r="W45" s="135"/>
      <c r="X45" s="135"/>
      <c r="Y45" s="135"/>
      <c r="Z45" s="135"/>
      <c r="AA45" s="135"/>
      <c r="AB45" s="135"/>
      <c r="AC45" s="135"/>
      <c r="AD45" s="135"/>
      <c r="AN45" s="35"/>
      <c r="AO45" s="35"/>
      <c r="AP45" s="35"/>
      <c r="AQ45" s="35"/>
      <c r="AR45" s="35"/>
      <c r="AS45" s="35"/>
    </row>
    <row r="46" spans="1:45" ht="14.25" customHeight="1" x14ac:dyDescent="0.25">
      <c r="A46" s="141"/>
      <c r="B46" s="1466"/>
      <c r="C46" s="1467"/>
      <c r="D46" s="1467"/>
      <c r="E46" s="1467"/>
      <c r="F46" s="1467"/>
      <c r="G46" s="1467"/>
      <c r="H46" s="1467"/>
      <c r="I46" s="1365"/>
      <c r="J46" s="1601" t="str">
        <f>IFERROR(IF((VLOOKUP(K46,Überblick!$M$124:$N$133,2))="ja","ja","nein"),"")</f>
        <v/>
      </c>
      <c r="K46" s="1515"/>
      <c r="L46" s="38">
        <f>IF(B46&gt;0,1,0)</f>
        <v>0</v>
      </c>
      <c r="O46" s="38"/>
      <c r="P46" s="259"/>
      <c r="T46" s="135"/>
      <c r="U46" s="135"/>
      <c r="V46" s="135"/>
      <c r="W46" s="135"/>
      <c r="X46" s="135"/>
      <c r="Y46" s="135"/>
      <c r="Z46" s="135"/>
      <c r="AA46" s="135"/>
      <c r="AB46" s="135"/>
      <c r="AC46" s="135"/>
      <c r="AD46" s="135"/>
      <c r="AN46" s="35"/>
      <c r="AO46" s="35"/>
      <c r="AP46" s="35"/>
      <c r="AQ46" s="35"/>
      <c r="AR46" s="35"/>
      <c r="AS46" s="35"/>
    </row>
    <row r="47" spans="1:45" ht="14.25" customHeight="1" x14ac:dyDescent="0.25">
      <c r="A47" s="141"/>
      <c r="B47" s="1466"/>
      <c r="C47" s="1467"/>
      <c r="D47" s="1467"/>
      <c r="E47" s="1467"/>
      <c r="F47" s="1467"/>
      <c r="G47" s="1467"/>
      <c r="H47" s="1467"/>
      <c r="I47" s="1419"/>
      <c r="J47" s="1507"/>
      <c r="K47" s="1510"/>
      <c r="O47" s="38"/>
      <c r="T47" s="135"/>
      <c r="U47" s="135"/>
      <c r="V47" s="135"/>
      <c r="W47" s="135"/>
      <c r="X47" s="135"/>
      <c r="Y47" s="135"/>
      <c r="Z47" s="135"/>
      <c r="AA47" s="135"/>
      <c r="AB47" s="135"/>
      <c r="AC47" s="135"/>
      <c r="AD47" s="135"/>
      <c r="AN47" s="35"/>
      <c r="AO47" s="35"/>
      <c r="AP47" s="35"/>
      <c r="AQ47" s="35"/>
      <c r="AR47" s="35"/>
      <c r="AS47" s="35"/>
    </row>
    <row r="48" spans="1:45" ht="14.25" customHeight="1" x14ac:dyDescent="0.25">
      <c r="A48" s="141"/>
      <c r="B48" s="1466"/>
      <c r="C48" s="1467"/>
      <c r="D48" s="1467"/>
      <c r="E48" s="1467"/>
      <c r="F48" s="1467"/>
      <c r="G48" s="1467"/>
      <c r="H48" s="1467"/>
      <c r="I48" s="1365"/>
      <c r="J48" s="1601" t="str">
        <f>IFERROR(IF((VLOOKUP(K48,Überblick!$M$124:$N$133,2))="ja","ja","nein"),"")</f>
        <v/>
      </c>
      <c r="K48" s="1515"/>
      <c r="L48" s="38">
        <f>IF(B48&gt;0,1,0)</f>
        <v>0</v>
      </c>
      <c r="O48" s="38"/>
      <c r="P48" s="259"/>
      <c r="T48" s="135"/>
      <c r="U48" s="135"/>
      <c r="V48" s="135"/>
      <c r="W48" s="135"/>
      <c r="X48" s="135"/>
      <c r="Y48" s="135"/>
      <c r="Z48" s="135"/>
      <c r="AA48" s="135"/>
      <c r="AB48" s="135"/>
      <c r="AC48" s="135"/>
      <c r="AD48" s="135"/>
      <c r="AN48" s="35"/>
      <c r="AO48" s="35"/>
      <c r="AP48" s="35"/>
      <c r="AQ48" s="35"/>
      <c r="AR48" s="35"/>
      <c r="AS48" s="35"/>
    </row>
    <row r="49" spans="1:45" ht="14.25" customHeight="1" x14ac:dyDescent="0.25">
      <c r="A49" s="141"/>
      <c r="B49" s="1466"/>
      <c r="C49" s="1467"/>
      <c r="D49" s="1467"/>
      <c r="E49" s="1467"/>
      <c r="F49" s="1467"/>
      <c r="G49" s="1467"/>
      <c r="H49" s="1467"/>
      <c r="I49" s="1419"/>
      <c r="J49" s="1507"/>
      <c r="K49" s="1510"/>
      <c r="O49" s="38"/>
      <c r="T49" s="135"/>
      <c r="U49" s="135"/>
      <c r="V49" s="135"/>
      <c r="W49" s="135"/>
      <c r="X49" s="135"/>
      <c r="Y49" s="135"/>
      <c r="Z49" s="135"/>
      <c r="AA49" s="135"/>
      <c r="AB49" s="135"/>
      <c r="AC49" s="135"/>
      <c r="AD49" s="135"/>
      <c r="AN49" s="35"/>
      <c r="AO49" s="35"/>
      <c r="AP49" s="35"/>
      <c r="AQ49" s="35"/>
      <c r="AR49" s="35"/>
      <c r="AS49" s="35"/>
    </row>
    <row r="50" spans="1:45" ht="14.25" customHeight="1" x14ac:dyDescent="0.25">
      <c r="A50" s="141"/>
      <c r="B50" s="1466"/>
      <c r="C50" s="1467"/>
      <c r="D50" s="1467"/>
      <c r="E50" s="1467"/>
      <c r="F50" s="1467"/>
      <c r="G50" s="1467"/>
      <c r="H50" s="1467"/>
      <c r="I50" s="1365"/>
      <c r="J50" s="1601" t="str">
        <f>IFERROR(IF((VLOOKUP(K50,Überblick!$M$124:$N$133,2))="ja","ja","nein"),"")</f>
        <v/>
      </c>
      <c r="K50" s="1515"/>
      <c r="L50" s="38">
        <f>IF(B50&gt;0,1,0)</f>
        <v>0</v>
      </c>
      <c r="O50" s="38"/>
      <c r="P50" s="259"/>
      <c r="T50" s="135"/>
      <c r="U50" s="135"/>
      <c r="V50" s="135"/>
      <c r="W50" s="135"/>
      <c r="X50" s="135"/>
      <c r="Y50" s="135"/>
      <c r="Z50" s="135"/>
      <c r="AA50" s="135"/>
      <c r="AB50" s="135"/>
      <c r="AC50" s="135"/>
      <c r="AD50" s="135"/>
      <c r="AN50" s="35"/>
      <c r="AO50" s="35"/>
      <c r="AP50" s="35"/>
      <c r="AQ50" s="35"/>
      <c r="AR50" s="35"/>
      <c r="AS50" s="35"/>
    </row>
    <row r="51" spans="1:45" ht="14.25" customHeight="1" x14ac:dyDescent="0.25">
      <c r="A51" s="141"/>
      <c r="B51" s="1466"/>
      <c r="C51" s="1467"/>
      <c r="D51" s="1467"/>
      <c r="E51" s="1467"/>
      <c r="F51" s="1467"/>
      <c r="G51" s="1467"/>
      <c r="H51" s="1467"/>
      <c r="I51" s="1419"/>
      <c r="J51" s="1507"/>
      <c r="K51" s="1510"/>
      <c r="O51" s="38"/>
      <c r="T51" s="135"/>
      <c r="U51" s="135"/>
      <c r="V51" s="135"/>
      <c r="W51" s="135"/>
      <c r="X51" s="135"/>
      <c r="Y51" s="135"/>
      <c r="Z51" s="135"/>
      <c r="AA51" s="135"/>
      <c r="AB51" s="135"/>
      <c r="AC51" s="135"/>
      <c r="AD51" s="135"/>
      <c r="AN51" s="35"/>
      <c r="AO51" s="35"/>
      <c r="AP51" s="35"/>
      <c r="AQ51" s="35"/>
      <c r="AR51" s="35"/>
      <c r="AS51" s="35"/>
    </row>
    <row r="52" spans="1:45" ht="14.25" customHeight="1" x14ac:dyDescent="0.25">
      <c r="A52" s="141"/>
      <c r="B52" s="1466"/>
      <c r="C52" s="1467"/>
      <c r="D52" s="1467"/>
      <c r="E52" s="1467"/>
      <c r="F52" s="1467"/>
      <c r="G52" s="1467"/>
      <c r="H52" s="1467"/>
      <c r="I52" s="1365"/>
      <c r="J52" s="1601" t="str">
        <f>IFERROR(IF((VLOOKUP(K52,Überblick!$M$124:$N$133,2))="ja","ja","nein"),"")</f>
        <v/>
      </c>
      <c r="K52" s="1515"/>
      <c r="L52" s="38">
        <f>IF(B52&gt;0,1,0)</f>
        <v>0</v>
      </c>
      <c r="O52" s="38"/>
      <c r="P52" s="259"/>
      <c r="T52" s="135"/>
      <c r="U52" s="135"/>
      <c r="V52" s="135"/>
      <c r="W52" s="135"/>
      <c r="X52" s="135"/>
      <c r="Y52" s="135"/>
      <c r="Z52" s="135"/>
      <c r="AA52" s="135"/>
      <c r="AB52" s="135"/>
      <c r="AC52" s="135"/>
      <c r="AD52" s="135"/>
      <c r="AN52" s="35"/>
      <c r="AO52" s="35"/>
      <c r="AP52" s="35"/>
      <c r="AQ52" s="35"/>
      <c r="AR52" s="35"/>
      <c r="AS52" s="35"/>
    </row>
    <row r="53" spans="1:45" ht="14.25" customHeight="1" x14ac:dyDescent="0.25">
      <c r="A53" s="141"/>
      <c r="B53" s="1466"/>
      <c r="C53" s="1467"/>
      <c r="D53" s="1467"/>
      <c r="E53" s="1467"/>
      <c r="F53" s="1467"/>
      <c r="G53" s="1467"/>
      <c r="H53" s="1467"/>
      <c r="I53" s="1419"/>
      <c r="J53" s="1507"/>
      <c r="K53" s="1510"/>
      <c r="O53" s="38"/>
      <c r="T53" s="135"/>
      <c r="U53" s="135"/>
      <c r="V53" s="135"/>
      <c r="W53" s="135"/>
      <c r="X53" s="135"/>
      <c r="Y53" s="135"/>
      <c r="Z53" s="135"/>
      <c r="AA53" s="135"/>
      <c r="AB53" s="135"/>
      <c r="AC53" s="135"/>
      <c r="AD53" s="135"/>
      <c r="AN53" s="35"/>
      <c r="AO53" s="35"/>
      <c r="AP53" s="35"/>
      <c r="AQ53" s="35"/>
      <c r="AR53" s="35"/>
      <c r="AS53" s="35"/>
    </row>
    <row r="54" spans="1:45" ht="14.25" customHeight="1" x14ac:dyDescent="0.25">
      <c r="A54" s="141"/>
      <c r="B54" s="1466"/>
      <c r="C54" s="1467"/>
      <c r="D54" s="1467"/>
      <c r="E54" s="1467"/>
      <c r="F54" s="1467"/>
      <c r="G54" s="1467"/>
      <c r="H54" s="1467"/>
      <c r="I54" s="1365"/>
      <c r="J54" s="1601" t="str">
        <f>IFERROR(IF((VLOOKUP(K54,Überblick!$M$124:$N$133,2))="ja","ja","nein"),"")</f>
        <v/>
      </c>
      <c r="K54" s="1515"/>
      <c r="L54" s="38">
        <f>IF(B54&gt;0,1,0)</f>
        <v>0</v>
      </c>
      <c r="O54" s="38"/>
      <c r="P54" s="259"/>
      <c r="T54" s="135"/>
      <c r="U54" s="135"/>
      <c r="V54" s="135"/>
      <c r="W54" s="135"/>
      <c r="X54" s="135"/>
      <c r="Y54" s="135"/>
      <c r="Z54" s="135"/>
      <c r="AA54" s="135"/>
      <c r="AB54" s="135"/>
      <c r="AC54" s="135"/>
      <c r="AD54" s="135"/>
      <c r="AN54" s="35"/>
      <c r="AO54" s="35"/>
      <c r="AP54" s="35"/>
      <c r="AQ54" s="35"/>
      <c r="AR54" s="35"/>
      <c r="AS54" s="35"/>
    </row>
    <row r="55" spans="1:45" ht="14.25" customHeight="1" x14ac:dyDescent="0.25">
      <c r="A55" s="141"/>
      <c r="B55" s="1466"/>
      <c r="C55" s="1467"/>
      <c r="D55" s="1467"/>
      <c r="E55" s="1467"/>
      <c r="F55" s="1467"/>
      <c r="G55" s="1467"/>
      <c r="H55" s="1467"/>
      <c r="I55" s="1419"/>
      <c r="J55" s="1507"/>
      <c r="K55" s="1510"/>
      <c r="O55" s="38"/>
      <c r="T55" s="135"/>
      <c r="U55" s="135"/>
      <c r="V55" s="135"/>
      <c r="W55" s="135"/>
      <c r="X55" s="135"/>
      <c r="Y55" s="135"/>
      <c r="Z55" s="135"/>
      <c r="AA55" s="135"/>
      <c r="AB55" s="135"/>
      <c r="AC55" s="135"/>
      <c r="AD55" s="135"/>
      <c r="AN55" s="35"/>
      <c r="AO55" s="35"/>
      <c r="AP55" s="35"/>
      <c r="AQ55" s="35"/>
      <c r="AR55" s="35"/>
      <c r="AS55" s="35"/>
    </row>
    <row r="56" spans="1:45" ht="14.25" customHeight="1" x14ac:dyDescent="0.25">
      <c r="A56" s="141"/>
      <c r="B56" s="1466"/>
      <c r="C56" s="1467"/>
      <c r="D56" s="1467"/>
      <c r="E56" s="1467"/>
      <c r="F56" s="1467"/>
      <c r="G56" s="1467"/>
      <c r="H56" s="1467"/>
      <c r="I56" s="1365"/>
      <c r="J56" s="1601" t="str">
        <f>IFERROR(IF((VLOOKUP(K56,Überblick!$M$124:$N$133,2))="ja","ja","nein"),"")</f>
        <v/>
      </c>
      <c r="K56" s="1515"/>
      <c r="L56" s="38">
        <f>IF(B56&gt;0,1,0)</f>
        <v>0</v>
      </c>
      <c r="O56" s="38"/>
      <c r="P56" s="259"/>
      <c r="T56" s="135"/>
      <c r="U56" s="135"/>
      <c r="V56" s="135"/>
      <c r="W56" s="135"/>
      <c r="X56" s="135"/>
      <c r="Y56" s="135"/>
      <c r="Z56" s="135"/>
      <c r="AA56" s="135"/>
      <c r="AB56" s="135"/>
      <c r="AC56" s="135"/>
      <c r="AD56" s="135"/>
      <c r="AN56" s="35"/>
      <c r="AO56" s="35"/>
      <c r="AP56" s="35"/>
      <c r="AQ56" s="35"/>
      <c r="AR56" s="35"/>
      <c r="AS56" s="35"/>
    </row>
    <row r="57" spans="1:45" ht="14.25" customHeight="1" x14ac:dyDescent="0.25">
      <c r="A57" s="141"/>
      <c r="B57" s="1466"/>
      <c r="C57" s="1467"/>
      <c r="D57" s="1467"/>
      <c r="E57" s="1467"/>
      <c r="F57" s="1467"/>
      <c r="G57" s="1467"/>
      <c r="H57" s="1467"/>
      <c r="I57" s="1419"/>
      <c r="J57" s="1507"/>
      <c r="K57" s="1510"/>
      <c r="O57" s="38"/>
      <c r="T57" s="135"/>
      <c r="U57" s="135"/>
      <c r="V57" s="135"/>
      <c r="W57" s="135"/>
      <c r="X57" s="135"/>
      <c r="Y57" s="135"/>
      <c r="Z57" s="135"/>
      <c r="AA57" s="135"/>
      <c r="AB57" s="135"/>
      <c r="AC57" s="135"/>
      <c r="AD57" s="135"/>
      <c r="AN57" s="35"/>
      <c r="AO57" s="35"/>
      <c r="AP57" s="35"/>
      <c r="AQ57" s="35"/>
      <c r="AR57" s="35"/>
      <c r="AS57" s="35"/>
    </row>
    <row r="58" spans="1:45" ht="14.25" customHeight="1" x14ac:dyDescent="0.25">
      <c r="A58" s="141"/>
      <c r="B58" s="1466"/>
      <c r="C58" s="1467"/>
      <c r="D58" s="1467"/>
      <c r="E58" s="1467"/>
      <c r="F58" s="1467"/>
      <c r="G58" s="1467"/>
      <c r="H58" s="1467"/>
      <c r="I58" s="1365"/>
      <c r="J58" s="1601" t="str">
        <f>IFERROR(IF((VLOOKUP(K58,Überblick!$M$124:$N$133,2))="ja","ja","nein"),"")</f>
        <v/>
      </c>
      <c r="K58" s="1515"/>
      <c r="L58" s="38">
        <f>IF(B58&gt;0,1,0)</f>
        <v>0</v>
      </c>
      <c r="O58" s="38"/>
      <c r="P58" s="259"/>
      <c r="T58" s="135"/>
      <c r="U58" s="135"/>
      <c r="V58" s="135"/>
      <c r="W58" s="135"/>
      <c r="X58" s="135"/>
      <c r="Y58" s="135"/>
      <c r="Z58" s="135"/>
      <c r="AA58" s="135"/>
      <c r="AB58" s="135"/>
      <c r="AC58" s="135"/>
      <c r="AD58" s="135"/>
      <c r="AN58" s="35"/>
      <c r="AO58" s="35"/>
      <c r="AP58" s="35"/>
      <c r="AQ58" s="35"/>
      <c r="AR58" s="35"/>
      <c r="AS58" s="35"/>
    </row>
    <row r="59" spans="1:45" ht="14.25" customHeight="1" x14ac:dyDescent="0.25">
      <c r="A59" s="141"/>
      <c r="B59" s="1466"/>
      <c r="C59" s="1467"/>
      <c r="D59" s="1467"/>
      <c r="E59" s="1467"/>
      <c r="F59" s="1467"/>
      <c r="G59" s="1467"/>
      <c r="H59" s="1467"/>
      <c r="I59" s="1419"/>
      <c r="J59" s="1507"/>
      <c r="K59" s="1510"/>
      <c r="O59" s="38"/>
      <c r="T59" s="135"/>
      <c r="U59" s="135"/>
      <c r="V59" s="135"/>
      <c r="W59" s="135"/>
      <c r="X59" s="135"/>
      <c r="Y59" s="135"/>
      <c r="Z59" s="135"/>
      <c r="AA59" s="135"/>
      <c r="AB59" s="135"/>
      <c r="AC59" s="135"/>
      <c r="AD59" s="135"/>
      <c r="AN59" s="35"/>
      <c r="AO59" s="35"/>
      <c r="AP59" s="35"/>
      <c r="AQ59" s="35"/>
      <c r="AR59" s="35"/>
      <c r="AS59" s="35"/>
    </row>
    <row r="60" spans="1:45" ht="14.25" customHeight="1" x14ac:dyDescent="0.25">
      <c r="A60" s="141"/>
      <c r="B60" s="1466"/>
      <c r="C60" s="1467"/>
      <c r="D60" s="1467"/>
      <c r="E60" s="1467"/>
      <c r="F60" s="1467"/>
      <c r="G60" s="1467"/>
      <c r="H60" s="1467"/>
      <c r="I60" s="1365"/>
      <c r="J60" s="1601" t="str">
        <f>IFERROR(IF((VLOOKUP(K60,Überblick!$M$124:$N$133,2))="ja","ja","nein"),"")</f>
        <v/>
      </c>
      <c r="K60" s="1515"/>
      <c r="L60" s="38">
        <f>IF(B60&gt;0,1,0)</f>
        <v>0</v>
      </c>
      <c r="O60" s="38"/>
      <c r="P60" s="259"/>
      <c r="T60" s="135"/>
      <c r="U60" s="135"/>
      <c r="V60" s="135"/>
      <c r="W60" s="135"/>
      <c r="X60" s="135"/>
      <c r="Y60" s="135"/>
      <c r="Z60" s="135"/>
      <c r="AA60" s="135"/>
      <c r="AB60" s="135"/>
      <c r="AC60" s="135"/>
      <c r="AD60" s="135"/>
      <c r="AN60" s="35"/>
      <c r="AO60" s="35"/>
      <c r="AP60" s="35"/>
      <c r="AQ60" s="35"/>
      <c r="AR60" s="35"/>
      <c r="AS60" s="35"/>
    </row>
    <row r="61" spans="1:45" ht="14.25" customHeight="1" x14ac:dyDescent="0.25">
      <c r="A61" s="141"/>
      <c r="B61" s="1466"/>
      <c r="C61" s="1467"/>
      <c r="D61" s="1467"/>
      <c r="E61" s="1467"/>
      <c r="F61" s="1467"/>
      <c r="G61" s="1467"/>
      <c r="H61" s="1467"/>
      <c r="I61" s="1419"/>
      <c r="J61" s="1507"/>
      <c r="K61" s="1510"/>
      <c r="O61" s="38"/>
      <c r="T61" s="135"/>
      <c r="U61" s="135"/>
      <c r="V61" s="135"/>
      <c r="W61" s="135"/>
      <c r="X61" s="135"/>
      <c r="Y61" s="135"/>
      <c r="Z61" s="135"/>
      <c r="AA61" s="135"/>
      <c r="AB61" s="135"/>
      <c r="AC61" s="135"/>
      <c r="AD61" s="135"/>
      <c r="AN61" s="35"/>
      <c r="AO61" s="35"/>
      <c r="AP61" s="35"/>
      <c r="AQ61" s="35"/>
      <c r="AR61" s="35"/>
      <c r="AS61" s="35"/>
    </row>
    <row r="62" spans="1:45" ht="14.25" customHeight="1" x14ac:dyDescent="0.25">
      <c r="A62" s="141"/>
      <c r="B62" s="1466"/>
      <c r="C62" s="1467"/>
      <c r="D62" s="1467"/>
      <c r="E62" s="1467"/>
      <c r="F62" s="1467"/>
      <c r="G62" s="1467"/>
      <c r="H62" s="1467"/>
      <c r="I62" s="1365"/>
      <c r="J62" s="1601" t="str">
        <f>IFERROR(IF((VLOOKUP(K62,Überblick!$M$124:$N$133,2))="ja","ja","nein"),"")</f>
        <v/>
      </c>
      <c r="K62" s="1515"/>
      <c r="L62" s="38">
        <f>IF(B62&gt;0,1,0)</f>
        <v>0</v>
      </c>
      <c r="O62" s="38"/>
      <c r="P62" s="259"/>
      <c r="T62" s="135"/>
      <c r="U62" s="135"/>
      <c r="V62" s="135"/>
      <c r="W62" s="135"/>
      <c r="X62" s="135"/>
      <c r="Y62" s="135"/>
      <c r="Z62" s="135"/>
      <c r="AA62" s="135"/>
      <c r="AB62" s="135"/>
      <c r="AC62" s="135"/>
      <c r="AD62" s="135"/>
      <c r="AN62" s="35"/>
      <c r="AO62" s="35"/>
      <c r="AP62" s="35"/>
      <c r="AQ62" s="35"/>
      <c r="AR62" s="35"/>
      <c r="AS62" s="35"/>
    </row>
    <row r="63" spans="1:45" ht="14.25" customHeight="1" x14ac:dyDescent="0.25">
      <c r="A63" s="141"/>
      <c r="B63" s="1466"/>
      <c r="C63" s="1467"/>
      <c r="D63" s="1467"/>
      <c r="E63" s="1467"/>
      <c r="F63" s="1467"/>
      <c r="G63" s="1467"/>
      <c r="H63" s="1467"/>
      <c r="I63" s="1419"/>
      <c r="J63" s="1507"/>
      <c r="K63" s="1510"/>
      <c r="O63" s="38"/>
      <c r="T63" s="135"/>
      <c r="U63" s="135"/>
      <c r="V63" s="135"/>
      <c r="W63" s="135"/>
      <c r="X63" s="135"/>
      <c r="Y63" s="135"/>
      <c r="Z63" s="135"/>
      <c r="AA63" s="135"/>
      <c r="AB63" s="135"/>
      <c r="AC63" s="135"/>
      <c r="AD63" s="135"/>
      <c r="AN63" s="35"/>
      <c r="AO63" s="35"/>
      <c r="AP63" s="35"/>
      <c r="AQ63" s="35"/>
      <c r="AR63" s="35"/>
      <c r="AS63" s="35"/>
    </row>
    <row r="64" spans="1:45" ht="14.25" customHeight="1" x14ac:dyDescent="0.25">
      <c r="A64" s="141"/>
      <c r="B64" s="1466"/>
      <c r="C64" s="1467"/>
      <c r="D64" s="1467"/>
      <c r="E64" s="1467"/>
      <c r="F64" s="1467"/>
      <c r="G64" s="1467"/>
      <c r="H64" s="1467"/>
      <c r="I64" s="1365"/>
      <c r="J64" s="1601" t="str">
        <f>IFERROR(IF((VLOOKUP(K64,Überblick!$M$124:$N$133,2))="ja","ja","nein"),"")</f>
        <v/>
      </c>
      <c r="K64" s="1515"/>
      <c r="L64" s="38">
        <f>IF(B64&gt;0,1,0)</f>
        <v>0</v>
      </c>
      <c r="O64" s="38"/>
      <c r="P64" s="259"/>
      <c r="T64" s="135"/>
      <c r="U64" s="135"/>
      <c r="V64" s="135"/>
      <c r="W64" s="135"/>
      <c r="X64" s="135"/>
      <c r="Y64" s="135"/>
      <c r="Z64" s="135"/>
      <c r="AA64" s="135"/>
      <c r="AB64" s="135"/>
      <c r="AC64" s="135"/>
      <c r="AD64" s="135"/>
      <c r="AN64" s="35"/>
      <c r="AO64" s="35"/>
      <c r="AP64" s="35"/>
      <c r="AQ64" s="35"/>
      <c r="AR64" s="35"/>
      <c r="AS64" s="35"/>
    </row>
    <row r="65" spans="1:45" ht="14.25" customHeight="1" x14ac:dyDescent="0.25">
      <c r="A65" s="141"/>
      <c r="B65" s="1466"/>
      <c r="C65" s="1467"/>
      <c r="D65" s="1467"/>
      <c r="E65" s="1467"/>
      <c r="F65" s="1467"/>
      <c r="G65" s="1467"/>
      <c r="H65" s="1467"/>
      <c r="I65" s="1419"/>
      <c r="J65" s="1507"/>
      <c r="K65" s="1510"/>
      <c r="O65" s="38"/>
      <c r="T65" s="135"/>
      <c r="U65" s="135"/>
      <c r="V65" s="135"/>
      <c r="W65" s="135"/>
      <c r="X65" s="135"/>
      <c r="Y65" s="135"/>
      <c r="Z65" s="135"/>
      <c r="AA65" s="135"/>
      <c r="AB65" s="135"/>
      <c r="AC65" s="135"/>
      <c r="AD65" s="135"/>
      <c r="AN65" s="35"/>
      <c r="AO65" s="35"/>
      <c r="AP65" s="35"/>
      <c r="AQ65" s="35"/>
      <c r="AR65" s="35"/>
      <c r="AS65" s="35"/>
    </row>
    <row r="66" spans="1:45" ht="14.25" customHeight="1" x14ac:dyDescent="0.25">
      <c r="A66" s="141"/>
      <c r="B66" s="1466"/>
      <c r="C66" s="1467"/>
      <c r="D66" s="1467"/>
      <c r="E66" s="1467"/>
      <c r="F66" s="1467"/>
      <c r="G66" s="1467"/>
      <c r="H66" s="1467"/>
      <c r="I66" s="1365"/>
      <c r="J66" s="1601" t="str">
        <f>IFERROR(IF((VLOOKUP(K66,Überblick!$M$124:$N$133,2))="ja","ja","nein"),"")</f>
        <v/>
      </c>
      <c r="K66" s="1515"/>
      <c r="L66" s="38">
        <f>IF(B66&gt;0,1,0)</f>
        <v>0</v>
      </c>
      <c r="O66" s="38"/>
      <c r="P66" s="259"/>
      <c r="T66" s="135"/>
      <c r="U66" s="135"/>
      <c r="V66" s="135"/>
      <c r="W66" s="135"/>
      <c r="X66" s="135"/>
      <c r="Y66" s="135"/>
      <c r="Z66" s="135"/>
      <c r="AA66" s="135"/>
      <c r="AB66" s="135"/>
      <c r="AC66" s="135"/>
      <c r="AD66" s="135"/>
      <c r="AN66" s="35"/>
      <c r="AO66" s="35"/>
      <c r="AP66" s="35"/>
      <c r="AQ66" s="35"/>
      <c r="AR66" s="35"/>
      <c r="AS66" s="35"/>
    </row>
    <row r="67" spans="1:45" ht="14.25" customHeight="1" x14ac:dyDescent="0.25">
      <c r="A67" s="141"/>
      <c r="B67" s="1466"/>
      <c r="C67" s="1467"/>
      <c r="D67" s="1467"/>
      <c r="E67" s="1467"/>
      <c r="F67" s="1467"/>
      <c r="G67" s="1467"/>
      <c r="H67" s="1467"/>
      <c r="I67" s="1419"/>
      <c r="J67" s="1507"/>
      <c r="K67" s="1510"/>
      <c r="O67" s="38"/>
      <c r="T67" s="135"/>
      <c r="U67" s="135"/>
      <c r="V67" s="135"/>
      <c r="W67" s="135"/>
      <c r="X67" s="135"/>
      <c r="Y67" s="135"/>
      <c r="Z67" s="135"/>
      <c r="AA67" s="135"/>
      <c r="AB67" s="135"/>
      <c r="AC67" s="135"/>
      <c r="AD67" s="135"/>
      <c r="AN67" s="35"/>
      <c r="AO67" s="35"/>
      <c r="AP67" s="35"/>
      <c r="AQ67" s="35"/>
      <c r="AR67" s="35"/>
      <c r="AS67" s="35"/>
    </row>
    <row r="68" spans="1:45" ht="14.25" customHeight="1" x14ac:dyDescent="0.25">
      <c r="A68" s="141"/>
      <c r="B68" s="1466"/>
      <c r="C68" s="1467"/>
      <c r="D68" s="1467"/>
      <c r="E68" s="1467"/>
      <c r="F68" s="1467"/>
      <c r="G68" s="1467"/>
      <c r="H68" s="1467"/>
      <c r="I68" s="1365"/>
      <c r="J68" s="1601" t="str">
        <f>IFERROR(IF((VLOOKUP(K68,Überblick!$M$124:$N$133,2))="ja","ja","nein"),"")</f>
        <v/>
      </c>
      <c r="K68" s="1515"/>
      <c r="L68" s="38">
        <f>IF(B68&gt;0,1,0)</f>
        <v>0</v>
      </c>
      <c r="O68" s="38"/>
      <c r="P68" s="259"/>
      <c r="T68" s="135"/>
      <c r="U68" s="135"/>
      <c r="V68" s="135"/>
      <c r="W68" s="135"/>
      <c r="X68" s="135"/>
      <c r="Y68" s="135"/>
      <c r="Z68" s="135"/>
      <c r="AA68" s="135"/>
      <c r="AB68" s="135"/>
      <c r="AC68" s="135"/>
      <c r="AD68" s="135"/>
      <c r="AN68" s="35"/>
      <c r="AO68" s="35"/>
      <c r="AP68" s="35"/>
      <c r="AQ68" s="35"/>
      <c r="AR68" s="35"/>
      <c r="AS68" s="35"/>
    </row>
    <row r="69" spans="1:45" ht="14.25" customHeight="1" x14ac:dyDescent="0.25">
      <c r="A69" s="141"/>
      <c r="B69" s="1466"/>
      <c r="C69" s="1467"/>
      <c r="D69" s="1467"/>
      <c r="E69" s="1467"/>
      <c r="F69" s="1467"/>
      <c r="G69" s="1467"/>
      <c r="H69" s="1467"/>
      <c r="I69" s="1419"/>
      <c r="J69" s="1507"/>
      <c r="K69" s="1510"/>
      <c r="O69" s="38"/>
      <c r="T69" s="135"/>
      <c r="U69" s="135"/>
      <c r="V69" s="135"/>
      <c r="W69" s="135"/>
      <c r="X69" s="135"/>
      <c r="Y69" s="135"/>
      <c r="Z69" s="135"/>
      <c r="AA69" s="135"/>
      <c r="AB69" s="135"/>
      <c r="AC69" s="135"/>
      <c r="AD69" s="135"/>
      <c r="AN69" s="35"/>
      <c r="AO69" s="35"/>
      <c r="AP69" s="35"/>
      <c r="AQ69" s="35"/>
      <c r="AR69" s="35"/>
      <c r="AS69" s="35"/>
    </row>
    <row r="70" spans="1:45" ht="14.25" customHeight="1" x14ac:dyDescent="0.25">
      <c r="A70" s="141"/>
      <c r="B70" s="1466"/>
      <c r="C70" s="1467"/>
      <c r="D70" s="1467"/>
      <c r="E70" s="1467"/>
      <c r="F70" s="1467"/>
      <c r="G70" s="1467"/>
      <c r="H70" s="1467"/>
      <c r="I70" s="1365"/>
      <c r="J70" s="1601" t="str">
        <f>IFERROR(IF((VLOOKUP(K70,Überblick!$M$124:$N$133,2))="ja","ja","nein"),"")</f>
        <v/>
      </c>
      <c r="K70" s="1515"/>
      <c r="L70" s="38">
        <f>IF(B70&gt;0,1,0)</f>
        <v>0</v>
      </c>
      <c r="O70" s="38"/>
      <c r="P70" s="259"/>
      <c r="T70" s="135"/>
      <c r="U70" s="135"/>
      <c r="V70" s="135"/>
      <c r="W70" s="135"/>
      <c r="X70" s="135"/>
      <c r="Y70" s="135"/>
      <c r="Z70" s="135"/>
      <c r="AA70" s="135"/>
      <c r="AB70" s="135"/>
      <c r="AC70" s="135"/>
      <c r="AD70" s="135"/>
      <c r="AN70" s="35"/>
      <c r="AO70" s="35"/>
      <c r="AP70" s="35"/>
      <c r="AQ70" s="35"/>
      <c r="AR70" s="35"/>
      <c r="AS70" s="35"/>
    </row>
    <row r="71" spans="1:45" ht="14.25" customHeight="1" x14ac:dyDescent="0.25">
      <c r="A71" s="141"/>
      <c r="B71" s="1466"/>
      <c r="C71" s="1467"/>
      <c r="D71" s="1467"/>
      <c r="E71" s="1467"/>
      <c r="F71" s="1467"/>
      <c r="G71" s="1467"/>
      <c r="H71" s="1467"/>
      <c r="I71" s="1419"/>
      <c r="J71" s="1507"/>
      <c r="K71" s="1510"/>
      <c r="O71" s="38"/>
      <c r="T71" s="135"/>
      <c r="U71" s="135"/>
      <c r="V71" s="135"/>
      <c r="W71" s="135"/>
      <c r="X71" s="135"/>
      <c r="Y71" s="135"/>
      <c r="Z71" s="135"/>
      <c r="AA71" s="135"/>
      <c r="AB71" s="135"/>
      <c r="AC71" s="135"/>
      <c r="AD71" s="135"/>
      <c r="AN71" s="35"/>
      <c r="AO71" s="35"/>
      <c r="AP71" s="35"/>
      <c r="AQ71" s="35"/>
      <c r="AR71" s="35"/>
      <c r="AS71" s="35"/>
    </row>
    <row r="72" spans="1:45" ht="14.25" customHeight="1" x14ac:dyDescent="0.25">
      <c r="A72" s="141"/>
      <c r="B72" s="1466"/>
      <c r="C72" s="1467"/>
      <c r="D72" s="1467"/>
      <c r="E72" s="1467"/>
      <c r="F72" s="1467"/>
      <c r="G72" s="1467"/>
      <c r="H72" s="1467"/>
      <c r="I72" s="1365"/>
      <c r="J72" s="1601" t="str">
        <f>IFERROR(IF((VLOOKUP(K72,Überblick!$M$124:$N$133,2))="ja","ja","nein"),"")</f>
        <v/>
      </c>
      <c r="K72" s="1515"/>
      <c r="L72" s="38">
        <f>IF(B72&gt;0,1,0)</f>
        <v>0</v>
      </c>
      <c r="O72" s="38"/>
      <c r="P72" s="259"/>
      <c r="T72" s="135"/>
      <c r="U72" s="135"/>
      <c r="V72" s="135"/>
      <c r="W72" s="135"/>
      <c r="X72" s="135"/>
      <c r="Y72" s="135"/>
      <c r="Z72" s="135"/>
      <c r="AA72" s="135"/>
      <c r="AB72" s="135"/>
      <c r="AC72" s="135"/>
      <c r="AD72" s="135"/>
      <c r="AN72" s="35"/>
      <c r="AO72" s="35"/>
      <c r="AP72" s="35"/>
      <c r="AQ72" s="35"/>
      <c r="AR72" s="35"/>
      <c r="AS72" s="35"/>
    </row>
    <row r="73" spans="1:45" ht="14.25" customHeight="1" x14ac:dyDescent="0.25">
      <c r="A73" s="141"/>
      <c r="B73" s="1466"/>
      <c r="C73" s="1467"/>
      <c r="D73" s="1467"/>
      <c r="E73" s="1467"/>
      <c r="F73" s="1467"/>
      <c r="G73" s="1467"/>
      <c r="H73" s="1467"/>
      <c r="I73" s="1419"/>
      <c r="J73" s="1507"/>
      <c r="K73" s="1510"/>
      <c r="O73" s="38"/>
      <c r="T73" s="135"/>
      <c r="U73" s="135"/>
      <c r="V73" s="135"/>
      <c r="W73" s="135"/>
      <c r="X73" s="135"/>
      <c r="Y73" s="135"/>
      <c r="Z73" s="135"/>
      <c r="AA73" s="135"/>
      <c r="AB73" s="135"/>
      <c r="AC73" s="135"/>
      <c r="AD73" s="135"/>
      <c r="AN73" s="35"/>
      <c r="AO73" s="35"/>
      <c r="AP73" s="35"/>
      <c r="AQ73" s="35"/>
      <c r="AR73" s="35"/>
      <c r="AS73" s="35"/>
    </row>
    <row r="74" spans="1:45" ht="14.25" customHeight="1" x14ac:dyDescent="0.25">
      <c r="A74" s="141"/>
      <c r="B74" s="1466"/>
      <c r="C74" s="1467"/>
      <c r="D74" s="1467"/>
      <c r="E74" s="1467"/>
      <c r="F74" s="1467"/>
      <c r="G74" s="1467"/>
      <c r="H74" s="1467"/>
      <c r="I74" s="1365"/>
      <c r="J74" s="1601" t="str">
        <f>IFERROR(IF((VLOOKUP(K74,Überblick!$M$124:$N$133,2))="ja","ja","nein"),"")</f>
        <v/>
      </c>
      <c r="K74" s="1515"/>
      <c r="L74" s="38">
        <f>IF(B74&gt;0,1,0)</f>
        <v>0</v>
      </c>
      <c r="O74" s="38"/>
      <c r="P74" s="259"/>
      <c r="T74" s="135"/>
      <c r="U74" s="135"/>
      <c r="V74" s="135"/>
      <c r="W74" s="135"/>
      <c r="X74" s="135"/>
      <c r="Y74" s="135"/>
      <c r="Z74" s="135"/>
      <c r="AA74" s="135"/>
      <c r="AB74" s="135"/>
      <c r="AC74" s="135"/>
      <c r="AD74" s="135"/>
      <c r="AN74" s="35"/>
      <c r="AO74" s="35"/>
      <c r="AP74" s="35"/>
      <c r="AQ74" s="35"/>
      <c r="AR74" s="35"/>
      <c r="AS74" s="35"/>
    </row>
    <row r="75" spans="1:45" ht="14.25" customHeight="1" thickBot="1" x14ac:dyDescent="0.3">
      <c r="A75" s="141"/>
      <c r="B75" s="1476"/>
      <c r="C75" s="1477"/>
      <c r="D75" s="1477"/>
      <c r="E75" s="1477"/>
      <c r="F75" s="1477"/>
      <c r="G75" s="1477"/>
      <c r="H75" s="1477"/>
      <c r="I75" s="1694"/>
      <c r="J75" s="1602"/>
      <c r="K75" s="1595"/>
      <c r="O75" s="38"/>
      <c r="T75" s="135"/>
      <c r="U75" s="135"/>
      <c r="V75" s="135"/>
      <c r="W75" s="135"/>
      <c r="X75" s="135"/>
      <c r="Y75" s="135"/>
      <c r="Z75" s="135"/>
      <c r="AA75" s="135"/>
      <c r="AB75" s="135"/>
      <c r="AC75" s="135"/>
      <c r="AD75" s="135"/>
      <c r="AN75" s="35"/>
      <c r="AO75" s="35"/>
      <c r="AP75" s="35"/>
      <c r="AQ75" s="35"/>
      <c r="AR75" s="35"/>
      <c r="AS75" s="35"/>
    </row>
    <row r="76" spans="1:45" ht="14.25" customHeight="1" x14ac:dyDescent="0.25">
      <c r="A76" s="141"/>
      <c r="B76" s="136"/>
      <c r="C76" s="136"/>
      <c r="D76" s="136"/>
      <c r="E76" s="136"/>
      <c r="F76" s="136"/>
      <c r="G76" s="136"/>
      <c r="H76" s="136"/>
      <c r="I76" s="209">
        <f>SUM(I8:I75)</f>
        <v>0</v>
      </c>
      <c r="J76" s="124"/>
      <c r="K76" s="124"/>
      <c r="L76" s="38">
        <f>IF(SUM(L8:L75)&gt;0,1,0)</f>
        <v>0</v>
      </c>
      <c r="M76" s="44"/>
      <c r="N76" s="95"/>
      <c r="O76" s="38"/>
      <c r="Z76" s="40"/>
      <c r="AA76" s="40"/>
      <c r="AB76" s="35"/>
      <c r="AN76" s="35"/>
      <c r="AO76" s="35"/>
      <c r="AP76" s="35"/>
      <c r="AQ76" s="35"/>
      <c r="AR76" s="35"/>
      <c r="AS76" s="35"/>
    </row>
    <row r="77" spans="1:45" ht="14.25" customHeight="1" x14ac:dyDescent="0.25">
      <c r="A77" s="142"/>
      <c r="B77" s="136"/>
      <c r="C77" s="136"/>
      <c r="D77" s="136"/>
      <c r="E77" s="136"/>
      <c r="F77" s="136"/>
      <c r="G77" s="136"/>
      <c r="H77" s="139"/>
      <c r="I77" s="137"/>
      <c r="J77" s="124"/>
      <c r="K77" s="124"/>
      <c r="M77" s="137"/>
      <c r="N77" s="102"/>
      <c r="Q77" s="16"/>
      <c r="Z77" s="40" t="e">
        <f>IF(#REF!="ja",AA77,0)</f>
        <v>#REF!</v>
      </c>
      <c r="AA77" s="40">
        <v>7.4999999999999997E-2</v>
      </c>
      <c r="AB77" s="120"/>
    </row>
    <row r="78" spans="1:45" ht="15" customHeight="1" x14ac:dyDescent="0.25">
      <c r="B78" s="242"/>
      <c r="C78" s="242"/>
      <c r="D78" s="242"/>
      <c r="E78" s="242"/>
      <c r="F78" s="242"/>
      <c r="G78" s="242"/>
      <c r="H78" s="242"/>
      <c r="I78" s="242"/>
      <c r="J78" s="242"/>
      <c r="K78" s="242"/>
      <c r="L78" s="366"/>
      <c r="M78" s="242"/>
      <c r="N78" s="242"/>
      <c r="O78" s="242"/>
      <c r="P78" s="242"/>
      <c r="Q78" s="242"/>
      <c r="R78" s="242"/>
      <c r="S78" s="242"/>
      <c r="T78" s="242"/>
      <c r="U78" s="242"/>
      <c r="V78" s="45"/>
      <c r="W78" s="46"/>
      <c r="X78" s="46"/>
    </row>
    <row r="79" spans="1:45" x14ac:dyDescent="0.25">
      <c r="A79" s="7" t="s">
        <v>152</v>
      </c>
      <c r="B79" s="9" t="str">
        <f>IF(B1=Y4,"Honorarvereinbarung für die zunächst beauftragten und für die optionalen Leistungen ","Honorarangebot für die zunächst beauftragten und für die optionalen Leistungen")</f>
        <v>Honorarangebot für die zunächst beauftragten und für die optionalen Leistungen</v>
      </c>
      <c r="T79" s="9"/>
      <c r="AD79" s="9"/>
    </row>
    <row r="80" spans="1:45" ht="14.55" thickBot="1" x14ac:dyDescent="0.3"/>
    <row r="81" spans="1:29" x14ac:dyDescent="0.25">
      <c r="B81" s="65"/>
      <c r="C81" s="66"/>
      <c r="D81" s="66"/>
      <c r="E81" s="66"/>
      <c r="F81" s="125"/>
      <c r="G81" s="180"/>
      <c r="H81" s="65"/>
      <c r="I81" s="15"/>
      <c r="J81" s="67"/>
    </row>
    <row r="82" spans="1:29" x14ac:dyDescent="0.25">
      <c r="B82" s="692" t="s">
        <v>630</v>
      </c>
      <c r="C82" s="693"/>
      <c r="D82" s="693"/>
      <c r="E82" s="693"/>
      <c r="F82" s="694"/>
      <c r="G82" s="181"/>
      <c r="H82" s="1552">
        <f>I76</f>
        <v>0</v>
      </c>
      <c r="I82" s="889"/>
      <c r="J82" s="890"/>
      <c r="K82" s="16"/>
      <c r="L82" s="58"/>
      <c r="M82" s="16"/>
    </row>
    <row r="83" spans="1:29" ht="14.55" thickBot="1" x14ac:dyDescent="0.3">
      <c r="B83" s="217"/>
      <c r="C83" s="218"/>
      <c r="D83" s="218"/>
      <c r="E83" s="218"/>
      <c r="F83" s="219"/>
      <c r="G83" s="182"/>
      <c r="H83" s="217"/>
      <c r="I83" s="126"/>
      <c r="J83" s="127"/>
    </row>
    <row r="84" spans="1:29" x14ac:dyDescent="0.25">
      <c r="B84" s="238"/>
      <c r="C84" s="239"/>
      <c r="D84" s="239"/>
      <c r="E84" s="239"/>
      <c r="F84" s="240"/>
      <c r="G84" s="183"/>
      <c r="H84" s="238"/>
      <c r="I84" s="15"/>
      <c r="J84" s="194"/>
      <c r="K84" s="189"/>
      <c r="L84" s="356"/>
      <c r="M84" s="189"/>
    </row>
    <row r="85" spans="1:29" ht="15" customHeight="1" x14ac:dyDescent="0.25">
      <c r="B85" s="176"/>
      <c r="C85" s="177"/>
      <c r="D85" s="177"/>
      <c r="E85" s="1692" t="s">
        <v>98</v>
      </c>
      <c r="F85" s="1693"/>
      <c r="G85" s="184">
        <f>Überblick!$G$97</f>
        <v>0.19</v>
      </c>
      <c r="H85" s="1529">
        <f>H82*G85</f>
        <v>0</v>
      </c>
      <c r="I85" s="1530"/>
      <c r="J85" s="1531"/>
      <c r="K85" s="16"/>
      <c r="L85" s="58"/>
      <c r="M85" s="16"/>
    </row>
    <row r="86" spans="1:29" ht="14.55" thickBot="1" x14ac:dyDescent="0.3">
      <c r="B86" s="226"/>
      <c r="C86" s="227"/>
      <c r="D86" s="227"/>
      <c r="E86" s="227"/>
      <c r="F86" s="228"/>
      <c r="G86" s="185"/>
      <c r="H86" s="241"/>
      <c r="I86" s="188"/>
      <c r="J86" s="221"/>
      <c r="K86" s="224"/>
      <c r="L86" s="598"/>
      <c r="M86" s="224"/>
    </row>
    <row r="87" spans="1:29" ht="15" customHeight="1" x14ac:dyDescent="0.25">
      <c r="B87" s="738" t="s">
        <v>302</v>
      </c>
      <c r="C87" s="739"/>
      <c r="D87" s="739"/>
      <c r="E87" s="739"/>
      <c r="F87" s="740"/>
      <c r="G87" s="186"/>
      <c r="H87" s="178"/>
      <c r="I87" s="179"/>
      <c r="J87" s="193"/>
      <c r="K87" s="192"/>
      <c r="L87" s="367"/>
      <c r="M87" s="190"/>
    </row>
    <row r="88" spans="1:29" ht="14.55" thickBot="1" x14ac:dyDescent="0.3">
      <c r="B88" s="741"/>
      <c r="C88" s="742"/>
      <c r="D88" s="742"/>
      <c r="E88" s="742"/>
      <c r="F88" s="743"/>
      <c r="G88" s="187"/>
      <c r="H88" s="1532">
        <f>H82+H85</f>
        <v>0</v>
      </c>
      <c r="I88" s="1533"/>
      <c r="J88" s="1534"/>
      <c r="K88" s="190"/>
      <c r="L88" s="368"/>
      <c r="M88" s="190"/>
    </row>
    <row r="90" spans="1:29" x14ac:dyDescent="0.25">
      <c r="A90" s="7" t="s">
        <v>157</v>
      </c>
      <c r="B90" s="28" t="str">
        <f>IF(B1=Y4,"Honorarvereinbarung für die zunächst beauftragenden Leistungen","Honorangebot für die zunächst beauftragenden Leistungen ")</f>
        <v xml:space="preserve">Honorangebot für die zunächst beauftragenden Leistungen </v>
      </c>
      <c r="C90" s="28"/>
      <c r="D90" s="28"/>
      <c r="E90" s="28"/>
      <c r="F90" s="32"/>
      <c r="G90" s="32"/>
      <c r="H90" s="32"/>
      <c r="I90" s="32"/>
      <c r="J90" s="32"/>
      <c r="K90" s="33"/>
      <c r="L90" s="298"/>
      <c r="M90" s="33"/>
      <c r="N90" s="33"/>
      <c r="O90" s="33"/>
      <c r="P90" s="33"/>
      <c r="Q90" s="33"/>
      <c r="R90" s="33"/>
      <c r="S90" s="34"/>
      <c r="T90" s="28"/>
      <c r="U90" s="34"/>
      <c r="V90" s="34"/>
      <c r="W90" s="34"/>
      <c r="X90" s="34"/>
      <c r="AC90" s="28"/>
    </row>
    <row r="91" spans="1:29" ht="14.55" thickBot="1" x14ac:dyDescent="0.3">
      <c r="B91" s="28"/>
      <c r="C91" s="28"/>
      <c r="D91" s="28"/>
      <c r="E91" s="28"/>
      <c r="F91" s="32"/>
      <c r="G91" s="32"/>
      <c r="H91" s="32"/>
      <c r="I91" s="32"/>
      <c r="J91" s="32"/>
      <c r="K91" s="33"/>
      <c r="L91" s="298"/>
      <c r="M91" s="33"/>
      <c r="N91" s="33"/>
      <c r="O91" s="33"/>
      <c r="P91" s="33"/>
      <c r="Q91" s="33"/>
      <c r="R91" s="33"/>
      <c r="S91" s="34"/>
      <c r="T91" s="34"/>
      <c r="U91" s="34"/>
      <c r="V91" s="34"/>
      <c r="W91" s="34"/>
      <c r="X91" s="34"/>
    </row>
    <row r="92" spans="1:29" x14ac:dyDescent="0.25">
      <c r="B92" s="65"/>
      <c r="C92" s="66"/>
      <c r="D92" s="66"/>
      <c r="E92" s="66"/>
      <c r="F92" s="125"/>
      <c r="G92" s="180"/>
      <c r="H92" s="65"/>
      <c r="I92" s="15"/>
      <c r="J92" s="67"/>
      <c r="K92" s="191"/>
      <c r="L92" s="58"/>
      <c r="M92" s="16"/>
      <c r="N92" s="33"/>
      <c r="O92" s="33"/>
      <c r="P92" s="33"/>
      <c r="Q92" s="33"/>
      <c r="R92" s="33"/>
      <c r="S92" s="34"/>
      <c r="T92" s="34"/>
      <c r="U92" s="34"/>
      <c r="V92" s="34"/>
      <c r="W92" s="34"/>
      <c r="X92" s="34"/>
    </row>
    <row r="93" spans="1:29" x14ac:dyDescent="0.25">
      <c r="B93" s="692" t="s">
        <v>630</v>
      </c>
      <c r="C93" s="693"/>
      <c r="D93" s="693"/>
      <c r="E93" s="693"/>
      <c r="F93" s="694"/>
      <c r="G93" s="195"/>
      <c r="H93" s="1552">
        <f>'Berechnung Auftragsänderung'!H25</f>
        <v>0</v>
      </c>
      <c r="I93" s="889"/>
      <c r="J93" s="890"/>
      <c r="K93" s="191"/>
      <c r="L93" s="58"/>
      <c r="M93" s="16"/>
      <c r="N93" s="33"/>
      <c r="O93" s="33"/>
      <c r="P93" s="33"/>
      <c r="Q93" s="33"/>
      <c r="R93" s="33"/>
      <c r="S93" s="34"/>
      <c r="T93" s="34"/>
      <c r="U93" s="34"/>
      <c r="V93" s="34"/>
      <c r="W93" s="34"/>
      <c r="X93" s="34"/>
    </row>
    <row r="94" spans="1:29" ht="14.55" thickBot="1" x14ac:dyDescent="0.3">
      <c r="B94" s="212"/>
      <c r="C94" s="126"/>
      <c r="D94" s="126"/>
      <c r="E94" s="126"/>
      <c r="F94" s="127"/>
      <c r="G94" s="196"/>
      <c r="H94" s="217"/>
      <c r="I94" s="126"/>
      <c r="J94" s="127"/>
      <c r="K94" s="191"/>
      <c r="L94" s="58"/>
      <c r="M94" s="16"/>
      <c r="N94" s="33"/>
      <c r="O94" s="33"/>
      <c r="P94" s="33"/>
      <c r="Q94" s="33"/>
      <c r="R94" s="33"/>
      <c r="S94" s="34"/>
      <c r="T94" s="34"/>
      <c r="U94" s="34"/>
      <c r="V94" s="34"/>
      <c r="W94" s="34"/>
      <c r="X94" s="34"/>
    </row>
    <row r="95" spans="1:29" x14ac:dyDescent="0.25">
      <c r="B95" s="53"/>
      <c r="C95" s="54"/>
      <c r="D95" s="54"/>
      <c r="E95" s="54"/>
      <c r="F95" s="55"/>
      <c r="G95" s="195"/>
      <c r="H95" s="238"/>
      <c r="I95" s="15"/>
      <c r="J95" s="194"/>
      <c r="K95" s="191"/>
      <c r="L95" s="58"/>
      <c r="M95" s="16"/>
      <c r="N95" s="33"/>
      <c r="O95" s="33"/>
      <c r="P95" s="33"/>
      <c r="Q95" s="33"/>
      <c r="R95" s="33"/>
      <c r="S95" s="34"/>
      <c r="T95" s="34"/>
      <c r="U95" s="34"/>
      <c r="V95" s="34"/>
      <c r="W95" s="34"/>
      <c r="X95" s="34"/>
    </row>
    <row r="96" spans="1:29" x14ac:dyDescent="0.25">
      <c r="B96" s="715" t="s">
        <v>98</v>
      </c>
      <c r="C96" s="716"/>
      <c r="D96" s="716"/>
      <c r="E96" s="716"/>
      <c r="F96" s="717"/>
      <c r="G96" s="197">
        <f>G85</f>
        <v>0.19</v>
      </c>
      <c r="H96" s="1529">
        <f>H93*G96</f>
        <v>0</v>
      </c>
      <c r="I96" s="1530"/>
      <c r="J96" s="1531"/>
      <c r="K96" s="191"/>
      <c r="L96" s="58"/>
      <c r="M96" s="16"/>
      <c r="N96" s="33"/>
      <c r="O96" s="33"/>
      <c r="P96" s="33"/>
      <c r="Q96" s="33"/>
      <c r="R96" s="33"/>
      <c r="S96" s="34"/>
      <c r="T96" s="34"/>
      <c r="U96" s="34"/>
      <c r="V96" s="34"/>
      <c r="W96" s="34"/>
      <c r="X96" s="34"/>
    </row>
    <row r="97" spans="1:24" ht="14.55" thickBot="1" x14ac:dyDescent="0.3">
      <c r="B97" s="226"/>
      <c r="C97" s="227"/>
      <c r="D97" s="227"/>
      <c r="E97" s="227"/>
      <c r="F97" s="228"/>
      <c r="G97" s="185"/>
      <c r="H97" s="241"/>
      <c r="I97" s="188"/>
      <c r="J97" s="221"/>
      <c r="K97" s="191"/>
      <c r="L97" s="58"/>
      <c r="M97" s="16"/>
      <c r="N97" s="33"/>
      <c r="O97" s="33"/>
      <c r="P97" s="33"/>
      <c r="Q97" s="33"/>
      <c r="R97" s="33"/>
      <c r="S97" s="34"/>
      <c r="T97" s="34"/>
      <c r="U97" s="34"/>
      <c r="V97" s="34"/>
      <c r="W97" s="34"/>
      <c r="X97" s="34"/>
    </row>
    <row r="98" spans="1:24" x14ac:dyDescent="0.25">
      <c r="B98" s="738" t="s">
        <v>103</v>
      </c>
      <c r="C98" s="739"/>
      <c r="D98" s="739"/>
      <c r="E98" s="739"/>
      <c r="F98" s="740"/>
      <c r="G98" s="198"/>
      <c r="H98" s="178"/>
      <c r="I98" s="179"/>
      <c r="J98" s="193"/>
      <c r="K98" s="191"/>
      <c r="L98" s="58"/>
      <c r="M98" s="16"/>
      <c r="N98" s="33"/>
      <c r="O98" s="33"/>
      <c r="P98" s="33"/>
      <c r="Q98" s="33"/>
      <c r="R98" s="33"/>
      <c r="S98" s="34"/>
      <c r="T98" s="34"/>
      <c r="U98" s="34"/>
      <c r="V98" s="34"/>
      <c r="W98" s="34"/>
      <c r="X98" s="34"/>
    </row>
    <row r="99" spans="1:24" ht="14.55" thickBot="1" x14ac:dyDescent="0.3">
      <c r="B99" s="741"/>
      <c r="C99" s="742"/>
      <c r="D99" s="742"/>
      <c r="E99" s="742"/>
      <c r="F99" s="743"/>
      <c r="G99" s="199"/>
      <c r="H99" s="1532">
        <f>H93+H96</f>
        <v>0</v>
      </c>
      <c r="I99" s="1533"/>
      <c r="J99" s="1534"/>
      <c r="K99" s="191"/>
      <c r="L99" s="58"/>
      <c r="M99" s="16"/>
      <c r="N99" s="33"/>
      <c r="O99" s="33"/>
      <c r="P99" s="33"/>
      <c r="Q99" s="33"/>
      <c r="R99" s="33"/>
      <c r="S99" s="34"/>
      <c r="T99" s="34"/>
      <c r="U99" s="34"/>
      <c r="V99" s="34"/>
      <c r="W99" s="34"/>
      <c r="X99" s="34"/>
    </row>
    <row r="100" spans="1:24" x14ac:dyDescent="0.25">
      <c r="B100" s="28"/>
      <c r="C100" s="28"/>
      <c r="D100" s="28"/>
      <c r="E100" s="28"/>
      <c r="F100" s="32"/>
      <c r="G100" s="32"/>
      <c r="H100" s="32"/>
      <c r="I100" s="32"/>
      <c r="J100" s="32"/>
      <c r="K100" s="33"/>
      <c r="L100" s="298"/>
      <c r="M100" s="33"/>
      <c r="N100" s="33"/>
      <c r="O100" s="33"/>
      <c r="P100" s="33"/>
      <c r="Q100" s="33"/>
      <c r="R100" s="33"/>
      <c r="S100" s="34"/>
      <c r="T100" s="34"/>
      <c r="U100" s="34"/>
      <c r="V100" s="34"/>
      <c r="W100" s="34"/>
      <c r="X100" s="34"/>
    </row>
    <row r="101" spans="1:24" x14ac:dyDescent="0.25">
      <c r="A101" s="7" t="s">
        <v>300</v>
      </c>
      <c r="B101" s="9" t="str">
        <f>IF(B1=Y4,"Gemäß der Honorarvereinbarung werden die Stufen wie folgt vergütet (netto): ","Gemäß des Honorarangebotes werden die Stufen wie folgt vergütet (netto): ")</f>
        <v xml:space="preserve">Gemäß des Honorarangebotes werden die Stufen wie folgt vergütet (netto): </v>
      </c>
      <c r="C101" s="9"/>
      <c r="D101" s="9"/>
      <c r="E101" s="9"/>
      <c r="F101" s="9"/>
      <c r="G101" s="9"/>
      <c r="H101" s="9"/>
      <c r="I101" s="9"/>
      <c r="J101" s="9"/>
      <c r="K101" s="9"/>
      <c r="L101" s="97"/>
      <c r="M101" s="9"/>
      <c r="N101" s="9"/>
      <c r="O101" s="28"/>
      <c r="P101" s="33"/>
      <c r="Q101" s="33"/>
      <c r="R101" s="9"/>
      <c r="S101" s="34"/>
      <c r="T101" s="34"/>
      <c r="U101" s="34"/>
      <c r="V101" s="34"/>
      <c r="W101" s="34"/>
      <c r="X101" s="34"/>
    </row>
    <row r="102" spans="1:24" ht="14.55" thickBot="1" x14ac:dyDescent="0.3">
      <c r="B102" s="28"/>
      <c r="C102" s="28"/>
      <c r="D102" s="28"/>
      <c r="E102" s="28"/>
      <c r="F102" s="32"/>
      <c r="G102" s="32"/>
      <c r="H102" s="32"/>
      <c r="I102" s="32"/>
      <c r="J102" s="32"/>
      <c r="K102" s="33"/>
      <c r="L102" s="298"/>
      <c r="M102" s="33"/>
      <c r="N102" s="33"/>
      <c r="O102" s="33"/>
      <c r="P102" s="33"/>
      <c r="Q102" s="33"/>
      <c r="R102" s="9"/>
      <c r="S102" s="34"/>
      <c r="T102" s="34"/>
      <c r="U102" s="34"/>
      <c r="V102" s="34"/>
      <c r="W102" s="34"/>
      <c r="X102" s="34"/>
    </row>
    <row r="103" spans="1:24" x14ac:dyDescent="0.25">
      <c r="B103" s="1695" t="s">
        <v>115</v>
      </c>
      <c r="C103" s="1611" t="s">
        <v>475</v>
      </c>
      <c r="D103" s="1612"/>
      <c r="E103" s="28"/>
      <c r="F103" s="32"/>
      <c r="G103" s="32"/>
      <c r="H103" s="32"/>
      <c r="I103" s="32"/>
      <c r="J103" s="32"/>
      <c r="K103" s="33"/>
      <c r="L103" s="298"/>
      <c r="M103" s="33"/>
      <c r="N103" s="33"/>
      <c r="O103" s="33"/>
      <c r="P103" s="33"/>
      <c r="Q103" s="33"/>
      <c r="R103" s="9"/>
      <c r="S103" s="34"/>
      <c r="T103" s="34"/>
      <c r="U103" s="34"/>
      <c r="V103" s="34"/>
      <c r="W103" s="34"/>
      <c r="X103" s="34"/>
    </row>
    <row r="104" spans="1:24" ht="15.95" customHeight="1" thickBot="1" x14ac:dyDescent="0.3">
      <c r="B104" s="1696"/>
      <c r="C104" s="1613"/>
      <c r="D104" s="1614"/>
      <c r="E104" s="168"/>
      <c r="F104" s="168"/>
      <c r="G104" s="168"/>
      <c r="H104" s="168"/>
      <c r="I104" s="169"/>
      <c r="J104" s="169"/>
      <c r="K104" s="128"/>
      <c r="L104" s="333"/>
      <c r="M104" s="128"/>
      <c r="N104" s="128"/>
      <c r="O104" s="128"/>
      <c r="P104" s="128"/>
      <c r="Q104" s="128"/>
      <c r="R104" s="128"/>
      <c r="S104" s="129"/>
      <c r="T104" s="34"/>
      <c r="U104" s="34"/>
      <c r="V104" s="34"/>
      <c r="W104" s="34"/>
      <c r="X104" s="34"/>
    </row>
    <row r="105" spans="1:24" x14ac:dyDescent="0.25">
      <c r="A105" s="11"/>
      <c r="B105" s="104" t="str">
        <f>IF(Überblick!$H$53&gt;=1,"1:",0)</f>
        <v>1:</v>
      </c>
      <c r="C105" s="1565">
        <f>'Berechnung Auftragsänderung'!M72</f>
        <v>0</v>
      </c>
      <c r="D105" s="1565"/>
      <c r="E105" s="108"/>
      <c r="F105" s="108"/>
      <c r="G105" s="108"/>
      <c r="H105" s="108"/>
      <c r="I105" s="108"/>
      <c r="J105" s="108"/>
      <c r="K105" s="108"/>
      <c r="L105" s="108"/>
      <c r="M105" s="108"/>
      <c r="N105" s="108"/>
      <c r="O105" s="108"/>
      <c r="P105" s="108"/>
      <c r="Q105" s="108"/>
      <c r="R105" s="108"/>
      <c r="S105" s="108"/>
      <c r="T105" s="58">
        <f>SUM(C105:S105)</f>
        <v>0</v>
      </c>
      <c r="V105" s="31"/>
      <c r="W105" s="31"/>
      <c r="X105" s="31"/>
    </row>
    <row r="106" spans="1:24" ht="15.95" customHeight="1" x14ac:dyDescent="0.25">
      <c r="A106" s="11"/>
      <c r="B106" s="104" t="str">
        <f>IF(Überblick!$H$53&gt;=2,"2:",0)</f>
        <v>2:</v>
      </c>
      <c r="C106" s="1565">
        <f>'Berechnung Auftragsänderung'!M73</f>
        <v>0</v>
      </c>
      <c r="D106" s="1565"/>
      <c r="E106" s="108"/>
      <c r="F106" s="108"/>
      <c r="G106" s="108"/>
      <c r="H106" s="108"/>
      <c r="I106" s="108"/>
      <c r="J106" s="108"/>
      <c r="K106" s="108"/>
      <c r="L106" s="108"/>
      <c r="M106" s="108"/>
      <c r="N106" s="108"/>
      <c r="O106" s="108"/>
      <c r="P106" s="108"/>
      <c r="Q106" s="108"/>
      <c r="R106" s="108"/>
      <c r="S106" s="108"/>
      <c r="T106" s="58">
        <f t="shared" ref="T106:T112" si="0">SUM(C106:S106)</f>
        <v>0</v>
      </c>
    </row>
    <row r="107" spans="1:24" x14ac:dyDescent="0.25">
      <c r="A107" s="9"/>
      <c r="B107" s="104" t="str">
        <f>IF(Überblick!$H$53&gt;=3,"3:",0)</f>
        <v>3:</v>
      </c>
      <c r="C107" s="1565">
        <f>'Berechnung Auftragsänderung'!M74</f>
        <v>0</v>
      </c>
      <c r="D107" s="1565"/>
      <c r="E107" s="108"/>
      <c r="F107" s="108"/>
      <c r="G107" s="108"/>
      <c r="H107" s="108"/>
      <c r="I107" s="108"/>
      <c r="J107" s="108"/>
      <c r="K107" s="108"/>
      <c r="L107" s="108"/>
      <c r="M107" s="108"/>
      <c r="N107" s="108"/>
      <c r="O107" s="108"/>
      <c r="P107" s="108"/>
      <c r="Q107" s="108"/>
      <c r="R107" s="108"/>
      <c r="S107" s="108"/>
      <c r="T107" s="58">
        <f t="shared" si="0"/>
        <v>0</v>
      </c>
    </row>
    <row r="108" spans="1:24" x14ac:dyDescent="0.25">
      <c r="B108" s="104">
        <f>IF(Überblick!$H$53&gt;=4,"4:",0)</f>
        <v>0</v>
      </c>
      <c r="C108" s="1565">
        <f>'Berechnung Auftragsänderung'!M75</f>
        <v>0</v>
      </c>
      <c r="D108" s="1565"/>
      <c r="E108" s="108"/>
      <c r="F108" s="108"/>
      <c r="G108" s="108"/>
      <c r="H108" s="108"/>
      <c r="I108" s="108"/>
      <c r="J108" s="108"/>
      <c r="K108" s="108"/>
      <c r="L108" s="108"/>
      <c r="M108" s="108"/>
      <c r="N108" s="108"/>
      <c r="O108" s="108"/>
      <c r="P108" s="108"/>
      <c r="Q108" s="108"/>
      <c r="R108" s="108"/>
      <c r="S108" s="108"/>
      <c r="T108" s="58">
        <f t="shared" si="0"/>
        <v>0</v>
      </c>
    </row>
    <row r="109" spans="1:24" x14ac:dyDescent="0.25">
      <c r="B109" s="104">
        <f>IF(Überblick!$H$53&gt;=5,"5:",0)</f>
        <v>0</v>
      </c>
      <c r="C109" s="1565">
        <f>'Berechnung Auftragsänderung'!M76</f>
        <v>0</v>
      </c>
      <c r="D109" s="1565"/>
      <c r="E109" s="108"/>
      <c r="F109" s="108"/>
      <c r="G109" s="108"/>
      <c r="H109" s="108"/>
      <c r="I109" s="108"/>
      <c r="J109" s="108"/>
      <c r="K109" s="108"/>
      <c r="L109" s="108"/>
      <c r="M109" s="108"/>
      <c r="N109" s="108"/>
      <c r="O109" s="108"/>
      <c r="P109" s="108"/>
      <c r="Q109" s="108"/>
      <c r="R109" s="108"/>
      <c r="S109" s="108"/>
      <c r="T109" s="58">
        <f t="shared" si="0"/>
        <v>0</v>
      </c>
    </row>
    <row r="110" spans="1:24" ht="15.95" customHeight="1" x14ac:dyDescent="0.25">
      <c r="B110" s="104">
        <f>IF(Überblick!$H$53&gt;=6,"6:",0)</f>
        <v>0</v>
      </c>
      <c r="C110" s="1565">
        <f>'Berechnung Auftragsänderung'!M77</f>
        <v>0</v>
      </c>
      <c r="D110" s="1565"/>
      <c r="E110" s="108"/>
      <c r="F110" s="108"/>
      <c r="G110" s="108"/>
      <c r="H110" s="108"/>
      <c r="I110" s="108"/>
      <c r="J110" s="108"/>
      <c r="K110" s="108"/>
      <c r="L110" s="108"/>
      <c r="M110" s="108"/>
      <c r="N110" s="108"/>
      <c r="O110" s="108"/>
      <c r="P110" s="108"/>
      <c r="Q110" s="108"/>
      <c r="R110" s="108"/>
      <c r="S110" s="108"/>
      <c r="T110" s="58">
        <f t="shared" si="0"/>
        <v>0</v>
      </c>
    </row>
    <row r="111" spans="1:24" x14ac:dyDescent="0.25">
      <c r="B111" s="104">
        <f>IF(Überblick!$H$53&gt;=7,"7:",0)</f>
        <v>0</v>
      </c>
      <c r="C111" s="1565">
        <f>'Berechnung Auftragsänderung'!M78</f>
        <v>0</v>
      </c>
      <c r="D111" s="1565"/>
      <c r="E111" s="108"/>
      <c r="F111" s="108"/>
      <c r="G111" s="108"/>
      <c r="H111" s="108"/>
      <c r="I111" s="108"/>
      <c r="J111" s="108"/>
      <c r="K111" s="108"/>
      <c r="L111" s="108"/>
      <c r="M111" s="108"/>
      <c r="N111" s="108"/>
      <c r="O111" s="108"/>
      <c r="P111" s="108"/>
      <c r="Q111" s="108"/>
      <c r="R111" s="108"/>
      <c r="S111" s="108"/>
      <c r="T111" s="58">
        <f t="shared" si="0"/>
        <v>0</v>
      </c>
    </row>
    <row r="112" spans="1:24" ht="15" customHeight="1" x14ac:dyDescent="0.25">
      <c r="B112" s="104">
        <f>IF(Überblick!$H$53&gt;=8,"8:",0)</f>
        <v>0</v>
      </c>
      <c r="C112" s="1565">
        <f>'Berechnung Auftragsänderung'!M79</f>
        <v>0</v>
      </c>
      <c r="D112" s="1565"/>
      <c r="E112" s="108"/>
      <c r="F112" s="108"/>
      <c r="G112" s="108"/>
      <c r="H112" s="108"/>
      <c r="I112" s="108"/>
      <c r="J112" s="108"/>
      <c r="K112" s="108"/>
      <c r="L112" s="108"/>
      <c r="M112" s="108"/>
      <c r="N112" s="108"/>
      <c r="O112" s="108"/>
      <c r="P112" s="108"/>
      <c r="Q112" s="108"/>
      <c r="R112" s="108"/>
      <c r="S112" s="108"/>
      <c r="T112" s="58">
        <f t="shared" si="0"/>
        <v>0</v>
      </c>
    </row>
    <row r="113" spans="2:20" x14ac:dyDescent="0.25">
      <c r="B113" s="104">
        <f>IF(Überblick!$H$53&gt;=9,"9:",0)</f>
        <v>0</v>
      </c>
      <c r="C113" s="1565">
        <f>'Berechnung Auftragsänderung'!M80</f>
        <v>0</v>
      </c>
      <c r="D113" s="1565"/>
      <c r="T113" s="58"/>
    </row>
    <row r="114" spans="2:20" ht="14.25" customHeight="1" x14ac:dyDescent="0.25">
      <c r="T114" s="58"/>
    </row>
    <row r="115" spans="2:20" x14ac:dyDescent="0.25">
      <c r="T115" s="58"/>
    </row>
    <row r="116" spans="2:20" x14ac:dyDescent="0.25">
      <c r="T116" s="58"/>
    </row>
    <row r="117" spans="2:20" x14ac:dyDescent="0.25">
      <c r="T117" s="58"/>
    </row>
  </sheetData>
  <mergeCells count="167">
    <mergeCell ref="C113:D113"/>
    <mergeCell ref="K10:K11"/>
    <mergeCell ref="B12:H13"/>
    <mergeCell ref="I12:I13"/>
    <mergeCell ref="J12:J13"/>
    <mergeCell ref="K12:K13"/>
    <mergeCell ref="B10:H11"/>
    <mergeCell ref="K5:K7"/>
    <mergeCell ref="B8:H9"/>
    <mergeCell ref="I8:I9"/>
    <mergeCell ref="J8:J9"/>
    <mergeCell ref="K8:K9"/>
    <mergeCell ref="J5:J7"/>
    <mergeCell ref="I5:I7"/>
    <mergeCell ref="B5:H7"/>
    <mergeCell ref="J10:J11"/>
    <mergeCell ref="I10:I11"/>
    <mergeCell ref="K18:K19"/>
    <mergeCell ref="B20:H21"/>
    <mergeCell ref="I20:I21"/>
    <mergeCell ref="J20:J21"/>
    <mergeCell ref="K20:K21"/>
    <mergeCell ref="B18:H19"/>
    <mergeCell ref="K14:K15"/>
    <mergeCell ref="B16:H17"/>
    <mergeCell ref="I16:I17"/>
    <mergeCell ref="J16:J17"/>
    <mergeCell ref="K16:K17"/>
    <mergeCell ref="J14:J15"/>
    <mergeCell ref="I14:I15"/>
    <mergeCell ref="B14:H15"/>
    <mergeCell ref="J18:J19"/>
    <mergeCell ref="I18:I19"/>
    <mergeCell ref="K26:K27"/>
    <mergeCell ref="B28:H29"/>
    <mergeCell ref="I28:I29"/>
    <mergeCell ref="J28:J29"/>
    <mergeCell ref="K28:K29"/>
    <mergeCell ref="B26:H27"/>
    <mergeCell ref="K22:K23"/>
    <mergeCell ref="B24:H25"/>
    <mergeCell ref="I24:I25"/>
    <mergeCell ref="J24:J25"/>
    <mergeCell ref="K24:K25"/>
    <mergeCell ref="J22:J23"/>
    <mergeCell ref="I22:I23"/>
    <mergeCell ref="B22:H23"/>
    <mergeCell ref="J26:J27"/>
    <mergeCell ref="I26:I27"/>
    <mergeCell ref="K34:K35"/>
    <mergeCell ref="B36:H37"/>
    <mergeCell ref="I36:I37"/>
    <mergeCell ref="J36:J37"/>
    <mergeCell ref="K36:K37"/>
    <mergeCell ref="B34:H35"/>
    <mergeCell ref="K30:K31"/>
    <mergeCell ref="B32:H33"/>
    <mergeCell ref="I32:I33"/>
    <mergeCell ref="J32:J33"/>
    <mergeCell ref="K32:K33"/>
    <mergeCell ref="J30:J31"/>
    <mergeCell ref="I30:I31"/>
    <mergeCell ref="B30:H31"/>
    <mergeCell ref="J34:J35"/>
    <mergeCell ref="I34:I35"/>
    <mergeCell ref="K42:K43"/>
    <mergeCell ref="B42:H43"/>
    <mergeCell ref="K38:K39"/>
    <mergeCell ref="B40:H41"/>
    <mergeCell ref="I40:I41"/>
    <mergeCell ref="J40:J41"/>
    <mergeCell ref="K40:K41"/>
    <mergeCell ref="J38:J39"/>
    <mergeCell ref="I38:I39"/>
    <mergeCell ref="B38:H39"/>
    <mergeCell ref="J42:J43"/>
    <mergeCell ref="I42:I43"/>
    <mergeCell ref="K48:K49"/>
    <mergeCell ref="B50:H51"/>
    <mergeCell ref="I50:I51"/>
    <mergeCell ref="J50:J51"/>
    <mergeCell ref="K50:K51"/>
    <mergeCell ref="B48:H49"/>
    <mergeCell ref="K44:K45"/>
    <mergeCell ref="B46:H47"/>
    <mergeCell ref="I46:I47"/>
    <mergeCell ref="J46:J47"/>
    <mergeCell ref="K46:K47"/>
    <mergeCell ref="J44:J45"/>
    <mergeCell ref="I44:I45"/>
    <mergeCell ref="B44:H45"/>
    <mergeCell ref="J48:J49"/>
    <mergeCell ref="I48:I49"/>
    <mergeCell ref="K56:K57"/>
    <mergeCell ref="B58:H59"/>
    <mergeCell ref="I58:I59"/>
    <mergeCell ref="J58:J59"/>
    <mergeCell ref="K58:K59"/>
    <mergeCell ref="B56:H57"/>
    <mergeCell ref="K52:K53"/>
    <mergeCell ref="B54:H55"/>
    <mergeCell ref="I54:I55"/>
    <mergeCell ref="J54:J55"/>
    <mergeCell ref="K54:K55"/>
    <mergeCell ref="J52:J53"/>
    <mergeCell ref="I52:I53"/>
    <mergeCell ref="B52:H53"/>
    <mergeCell ref="J56:J57"/>
    <mergeCell ref="I56:I57"/>
    <mergeCell ref="K60:K61"/>
    <mergeCell ref="B62:H63"/>
    <mergeCell ref="I62:I63"/>
    <mergeCell ref="J62:J63"/>
    <mergeCell ref="K62:K63"/>
    <mergeCell ref="J60:J61"/>
    <mergeCell ref="I60:I61"/>
    <mergeCell ref="B60:H61"/>
    <mergeCell ref="J64:J65"/>
    <mergeCell ref="I64:I65"/>
    <mergeCell ref="J68:J69"/>
    <mergeCell ref="I68:I69"/>
    <mergeCell ref="B68:H69"/>
    <mergeCell ref="J72:J73"/>
    <mergeCell ref="I72:I73"/>
    <mergeCell ref="K64:K65"/>
    <mergeCell ref="B66:H67"/>
    <mergeCell ref="I66:I67"/>
    <mergeCell ref="J66:J67"/>
    <mergeCell ref="K66:K67"/>
    <mergeCell ref="B64:H65"/>
    <mergeCell ref="I70:I71"/>
    <mergeCell ref="J70:J71"/>
    <mergeCell ref="K70:K71"/>
    <mergeCell ref="C110:D110"/>
    <mergeCell ref="C111:D111"/>
    <mergeCell ref="C112:D112"/>
    <mergeCell ref="B103:B104"/>
    <mergeCell ref="C103:D104"/>
    <mergeCell ref="C105:D105"/>
    <mergeCell ref="C106:D106"/>
    <mergeCell ref="C107:D107"/>
    <mergeCell ref="C108:D108"/>
    <mergeCell ref="C109:D109"/>
    <mergeCell ref="K2:M2"/>
    <mergeCell ref="K3:M3"/>
    <mergeCell ref="K4:M4"/>
    <mergeCell ref="L1:M1"/>
    <mergeCell ref="B93:F93"/>
    <mergeCell ref="H93:J93"/>
    <mergeCell ref="B96:F96"/>
    <mergeCell ref="H96:J96"/>
    <mergeCell ref="B98:F99"/>
    <mergeCell ref="H99:J99"/>
    <mergeCell ref="B82:F82"/>
    <mergeCell ref="H82:J82"/>
    <mergeCell ref="E85:F85"/>
    <mergeCell ref="H85:J85"/>
    <mergeCell ref="B87:F88"/>
    <mergeCell ref="H88:J88"/>
    <mergeCell ref="K72:K73"/>
    <mergeCell ref="B74:H75"/>
    <mergeCell ref="I74:I75"/>
    <mergeCell ref="J74:J75"/>
    <mergeCell ref="K74:K75"/>
    <mergeCell ref="B72:H73"/>
    <mergeCell ref="K68:K69"/>
    <mergeCell ref="B70:H71"/>
  </mergeCells>
  <conditionalFormatting sqref="M76">
    <cfRule type="cellIs" dxfId="7" priority="139" operator="equal">
      <formula>"ja"</formula>
    </cfRule>
  </conditionalFormatting>
  <conditionalFormatting sqref="M77">
    <cfRule type="cellIs" dxfId="6" priority="137" operator="equal">
      <formula>#REF!</formula>
    </cfRule>
  </conditionalFormatting>
  <conditionalFormatting sqref="J10 J12 J14 J16 J18 J20 J22 J24 J26 J28 J30 J32 J34 J36 J38 J40 J42 J44 J46 J48 J50 J52 J54 J56 J58 J60 J62 J64 J66 J68 J70 J72 J74">
    <cfRule type="expression" dxfId="5" priority="140">
      <formula>J10="JA"</formula>
    </cfRule>
  </conditionalFormatting>
  <conditionalFormatting sqref="B105:B113">
    <cfRule type="cellIs" dxfId="4" priority="136" operator="greaterThan">
      <formula>0</formula>
    </cfRule>
  </conditionalFormatting>
  <conditionalFormatting sqref="C105:D113">
    <cfRule type="cellIs" dxfId="3" priority="134" operator="greaterThan">
      <formula>0</formula>
    </cfRule>
    <cfRule type="expression" dxfId="2" priority="135">
      <formula>$B105&gt;=1</formula>
    </cfRule>
  </conditionalFormatting>
  <conditionalFormatting sqref="J76">
    <cfRule type="expression" dxfId="1" priority="133">
      <formula>I76="ja"</formula>
    </cfRule>
  </conditionalFormatting>
  <conditionalFormatting sqref="J8">
    <cfRule type="expression" dxfId="0" priority="1">
      <formula>J8="JA"</formula>
    </cfRule>
  </conditionalFormatting>
  <dataValidations count="1">
    <dataValidation type="list" allowBlank="1" showInputMessage="1" showErrorMessage="1" sqref="M76:M77" xr:uid="{B8DF874C-ED9C-47C6-ABFB-6D3FD6AD3E73}">
      <formula1>#REF!</formula1>
    </dataValidation>
  </dataValidations>
  <pageMargins left="0.25" right="0.25" top="0.75" bottom="0.75" header="0.3" footer="0.3"/>
  <pageSetup paperSize="9" scale="50" fitToHeight="0" orientation="portrait" r:id="rId1"/>
  <headerFooter>
    <oddFooter>&amp;LVersions-Nr.: 29.08.2016&amp;CDruckdatum: &amp;D&amp;RSeite &amp;P von &amp;N</oddFooter>
  </headerFooter>
  <rowBreaks count="1" manualBreakCount="1">
    <brk id="10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5E31FFC-222F-4BBA-B8A0-EC4AA060F497}">
          <x14:formula1>
            <xm:f>'Berechnung - Hochbau'!$B$131:$B$138</xm:f>
          </x14:formula1>
          <xm:sqref>N76:N77</xm:sqref>
        </x14:dataValidation>
        <x14:dataValidation type="list" allowBlank="1" showInputMessage="1" showErrorMessage="1" xr:uid="{9DAC13B0-9B16-423F-89C0-AC737519F31A}">
          <x14:formula1>
            <xm:f>'Berechnung - Hochbau'!$B$131:$B$140</xm:f>
          </x14:formula1>
          <xm:sqref>K8:K75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A3D44-B348-4B46-8879-1EF9B63F759E}">
  <dimension ref="A1:P284"/>
  <sheetViews>
    <sheetView workbookViewId="0">
      <selection activeCell="D9" sqref="D9"/>
    </sheetView>
  </sheetViews>
  <sheetFormatPr baseColWidth="10" defaultColWidth="11.44140625" defaultRowHeight="14.55" x14ac:dyDescent="0.3"/>
  <cols>
    <col min="1" max="1" width="3" style="607" bestFit="1" customWidth="1"/>
    <col min="2" max="2" width="3.33203125" style="603" bestFit="1" customWidth="1"/>
    <col min="3" max="3" width="37.44140625" style="604" customWidth="1"/>
    <col min="4" max="4" width="22.88671875" style="599" customWidth="1"/>
    <col min="5" max="7" width="11.44140625" style="607"/>
    <col min="8" max="8" width="30.6640625" style="607" customWidth="1"/>
    <col min="9" max="9" width="20.33203125" style="607" customWidth="1"/>
    <col min="10" max="10" width="7.109375" style="607" bestFit="1" customWidth="1"/>
    <col min="11" max="11" width="37.109375" style="607" customWidth="1"/>
    <col min="12" max="12" width="10.5546875" style="607" bestFit="1" customWidth="1"/>
    <col min="13" max="13" width="21.5546875" style="607" bestFit="1" customWidth="1"/>
    <col min="14" max="14" width="10.5546875" style="607" bestFit="1" customWidth="1"/>
    <col min="15" max="15" width="14.6640625" style="607" customWidth="1"/>
    <col min="16" max="16" width="20.88671875" style="607" customWidth="1"/>
    <col min="17" max="16384" width="11.44140625" style="603"/>
  </cols>
  <sheetData>
    <row r="1" spans="1:16" ht="15" customHeight="1" x14ac:dyDescent="0.3"/>
    <row r="2" spans="1:16" ht="15" customHeight="1" x14ac:dyDescent="0.3">
      <c r="C2" s="606" t="s">
        <v>651</v>
      </c>
      <c r="D2" s="600" t="str">
        <f>IF(Überblick!D19=0,"",Überblick!D19)</f>
        <v/>
      </c>
    </row>
    <row r="3" spans="1:16" ht="15" customHeight="1" x14ac:dyDescent="0.3">
      <c r="C3" s="606" t="s">
        <v>652</v>
      </c>
      <c r="D3" s="599">
        <f>Überblick!Q2</f>
        <v>0</v>
      </c>
    </row>
    <row r="4" spans="1:16" ht="15" customHeight="1" x14ac:dyDescent="0.3"/>
    <row r="5" spans="1:16" ht="15" customHeight="1" x14ac:dyDescent="0.3">
      <c r="B5" s="605" t="s">
        <v>653</v>
      </c>
      <c r="C5" s="606" t="s">
        <v>654</v>
      </c>
    </row>
    <row r="6" spans="1:16" ht="15" customHeight="1" x14ac:dyDescent="0.3">
      <c r="C6" s="604" t="s">
        <v>655</v>
      </c>
      <c r="D6" s="608">
        <f>Überblick!H88+Überblick!H86</f>
        <v>0</v>
      </c>
    </row>
    <row r="7" spans="1:16" ht="15" customHeight="1" x14ac:dyDescent="0.3">
      <c r="C7" s="604" t="s">
        <v>656</v>
      </c>
      <c r="D7" s="608">
        <f>Überblick!H90</f>
        <v>0</v>
      </c>
    </row>
    <row r="8" spans="1:16" ht="15" customHeight="1" x14ac:dyDescent="0.3">
      <c r="C8" s="604" t="s">
        <v>657</v>
      </c>
      <c r="D8" s="608">
        <f>D6+D7</f>
        <v>0</v>
      </c>
    </row>
    <row r="9" spans="1:16" ht="15" customHeight="1" x14ac:dyDescent="0.3"/>
    <row r="10" spans="1:16" ht="15" customHeight="1" x14ac:dyDescent="0.3">
      <c r="B10" s="605" t="str">
        <f>IFERROR(VLOOKUP(1,F10:M27,2,0),"")</f>
        <v/>
      </c>
      <c r="C10" s="606" t="str">
        <f>IFERROR(VLOOKUP(A11,$F$10:$P$27,3,0),"")</f>
        <v/>
      </c>
      <c r="D10" s="609"/>
      <c r="F10" s="607">
        <f>IF(P10&gt;0,1,0)</f>
        <v>0</v>
      </c>
      <c r="G10" s="607" t="str">
        <f>Hochbauplanung!A1</f>
        <v>B.</v>
      </c>
      <c r="H10" s="607" t="s">
        <v>658</v>
      </c>
      <c r="I10" s="610" t="s">
        <v>659</v>
      </c>
      <c r="J10" s="611">
        <f>Hochbauplanung!F37</f>
        <v>0</v>
      </c>
      <c r="K10" s="610" t="s">
        <v>660</v>
      </c>
      <c r="L10" s="612">
        <f>Hochbauplanung!H281+Hochbauplanung!H283</f>
        <v>0</v>
      </c>
      <c r="M10" s="610" t="s">
        <v>661</v>
      </c>
      <c r="N10" s="612">
        <f>Hochbauplanung!H285</f>
        <v>0</v>
      </c>
      <c r="O10" s="610" t="s">
        <v>644</v>
      </c>
      <c r="P10" s="612">
        <f t="shared" ref="P10:P24" si="0">L10+N10</f>
        <v>0</v>
      </c>
    </row>
    <row r="11" spans="1:16" ht="15" customHeight="1" x14ac:dyDescent="0.3">
      <c r="A11" s="607">
        <v>1</v>
      </c>
      <c r="C11" s="604" t="str">
        <f>IFERROR(VLOOKUP($A$11,$F$10:$P$27,4,0),"")</f>
        <v/>
      </c>
      <c r="D11" s="601" t="str">
        <f>IFERROR(VLOOKUP($A$11,$F$10:$P$27,5,0),"")</f>
        <v/>
      </c>
      <c r="F11" s="607" t="e">
        <f>IF(P11&gt;0,1+F10,0)</f>
        <v>#REF!</v>
      </c>
      <c r="G11" s="607" t="e">
        <f>#REF!</f>
        <v>#REF!</v>
      </c>
      <c r="H11" s="607" t="s">
        <v>662</v>
      </c>
      <c r="I11" s="610" t="s">
        <v>659</v>
      </c>
      <c r="J11" s="611" t="e">
        <f>#REF!</f>
        <v>#REF!</v>
      </c>
      <c r="K11" s="610" t="s">
        <v>660</v>
      </c>
      <c r="L11" s="612" t="e">
        <f>#REF!+#REF!</f>
        <v>#REF!</v>
      </c>
      <c r="M11" s="610" t="s">
        <v>661</v>
      </c>
      <c r="N11" s="612" t="e">
        <f>#REF!</f>
        <v>#REF!</v>
      </c>
      <c r="O11" s="610" t="s">
        <v>644</v>
      </c>
      <c r="P11" s="612" t="e">
        <f t="shared" si="0"/>
        <v>#REF!</v>
      </c>
    </row>
    <row r="12" spans="1:16" ht="15" customHeight="1" x14ac:dyDescent="0.3">
      <c r="C12" s="604" t="str">
        <f>IFERROR(VLOOKUP(A11,$F$10:$P$27,6,0),"")</f>
        <v/>
      </c>
      <c r="D12" s="602" t="str">
        <f>IFERROR(VLOOKUP(A11,$F$10:$P$27,7,0),"")</f>
        <v/>
      </c>
      <c r="F12" s="607" t="e">
        <f>IF(P12&gt;0,MAX(F10:F11)+1,0)</f>
        <v>#REF!</v>
      </c>
      <c r="G12" s="607" t="e">
        <f>#REF!</f>
        <v>#REF!</v>
      </c>
      <c r="H12" s="610" t="s">
        <v>663</v>
      </c>
      <c r="I12" s="610" t="s">
        <v>659</v>
      </c>
      <c r="J12" s="611" t="e">
        <f>#REF!</f>
        <v>#REF!</v>
      </c>
      <c r="K12" s="610" t="s">
        <v>660</v>
      </c>
      <c r="L12" s="612" t="e">
        <f>#REF!+#REF!</f>
        <v>#REF!</v>
      </c>
      <c r="M12" s="610" t="s">
        <v>661</v>
      </c>
      <c r="N12" s="612" t="e">
        <f>#REF!</f>
        <v>#REF!</v>
      </c>
      <c r="O12" s="610" t="s">
        <v>644</v>
      </c>
      <c r="P12" s="612" t="e">
        <f t="shared" si="0"/>
        <v>#REF!</v>
      </c>
    </row>
    <row r="13" spans="1:16" ht="15" customHeight="1" x14ac:dyDescent="0.3">
      <c r="C13" s="604" t="str">
        <f>IFERROR(VLOOKUP(A11,$F$10:$P$27,8,0),"")</f>
        <v/>
      </c>
      <c r="D13" s="602" t="str">
        <f>IFERROR(VLOOKUP(A11,$F$10:$P$27,9,0),"")</f>
        <v/>
      </c>
      <c r="F13" s="607" t="e">
        <f>IF(P13&gt;0,MAX(F10:F12)+1,0)</f>
        <v>#REF!</v>
      </c>
      <c r="G13" s="607" t="e">
        <f>#REF!</f>
        <v>#REF!</v>
      </c>
      <c r="H13" s="610" t="s">
        <v>664</v>
      </c>
      <c r="I13" s="610" t="s">
        <v>659</v>
      </c>
      <c r="J13" s="611" t="e">
        <f>#REF!</f>
        <v>#REF!</v>
      </c>
      <c r="K13" s="610" t="s">
        <v>660</v>
      </c>
      <c r="L13" s="612" t="e">
        <f>#REF!+#REF!</f>
        <v>#REF!</v>
      </c>
      <c r="M13" s="610" t="s">
        <v>661</v>
      </c>
      <c r="N13" s="612" t="e">
        <f>#REF!</f>
        <v>#REF!</v>
      </c>
      <c r="O13" s="610" t="s">
        <v>644</v>
      </c>
      <c r="P13" s="612" t="e">
        <f t="shared" si="0"/>
        <v>#REF!</v>
      </c>
    </row>
    <row r="14" spans="1:16" ht="15" customHeight="1" x14ac:dyDescent="0.3">
      <c r="C14" s="604" t="str">
        <f>IFERROR(VLOOKUP(A11,$F$10:$P$27,10,0),"")</f>
        <v/>
      </c>
      <c r="D14" s="602" t="str">
        <f>IFERROR(VLOOKUP(A11,$F$10:$P$27,11,0),"")</f>
        <v/>
      </c>
      <c r="F14" s="607" t="e">
        <f>IF(P14&gt;0,MAX(F10:F13)+1,0)</f>
        <v>#REF!</v>
      </c>
      <c r="G14" s="607" t="e">
        <f>#REF!</f>
        <v>#REF!</v>
      </c>
      <c r="H14" s="610" t="s">
        <v>665</v>
      </c>
      <c r="I14" s="610" t="s">
        <v>659</v>
      </c>
      <c r="J14" s="611" t="e">
        <f>#REF!</f>
        <v>#REF!</v>
      </c>
      <c r="K14" s="610" t="s">
        <v>660</v>
      </c>
      <c r="L14" s="612" t="e">
        <f>#REF!+#REF!</f>
        <v>#REF!</v>
      </c>
      <c r="M14" s="610" t="s">
        <v>661</v>
      </c>
      <c r="N14" s="612" t="e">
        <f>#REF!</f>
        <v>#REF!</v>
      </c>
      <c r="O14" s="610" t="s">
        <v>644</v>
      </c>
      <c r="P14" s="612" t="e">
        <f t="shared" si="0"/>
        <v>#REF!</v>
      </c>
    </row>
    <row r="15" spans="1:16" ht="15" customHeight="1" x14ac:dyDescent="0.3">
      <c r="D15" s="608"/>
      <c r="F15" s="607" t="e">
        <f>IF(P15&gt;0,MAX(F10:F14)+1,0)</f>
        <v>#REF!</v>
      </c>
      <c r="G15" s="607" t="e">
        <f>#REF!</f>
        <v>#REF!</v>
      </c>
      <c r="H15" s="610" t="s">
        <v>666</v>
      </c>
      <c r="I15" s="610" t="s">
        <v>659</v>
      </c>
      <c r="J15" s="611" t="e">
        <f>#REF!</f>
        <v>#REF!</v>
      </c>
      <c r="K15" s="610" t="s">
        <v>660</v>
      </c>
      <c r="L15" s="612" t="e">
        <f>#REF!+#REF!</f>
        <v>#REF!</v>
      </c>
      <c r="M15" s="610" t="s">
        <v>661</v>
      </c>
      <c r="N15" s="612" t="e">
        <f>#REF!</f>
        <v>#REF!</v>
      </c>
      <c r="O15" s="610" t="s">
        <v>644</v>
      </c>
      <c r="P15" s="612" t="e">
        <f t="shared" si="0"/>
        <v>#REF!</v>
      </c>
    </row>
    <row r="16" spans="1:16" ht="15" customHeight="1" x14ac:dyDescent="0.3">
      <c r="B16" s="605" t="str">
        <f>IFERROR(VLOOKUP(A17,$F$10:$P$27,2,0),"")</f>
        <v/>
      </c>
      <c r="C16" s="606" t="str">
        <f>IFERROR(VLOOKUP(A17,$F$10:$P$27,3,0),"")</f>
        <v/>
      </c>
      <c r="D16" s="609"/>
      <c r="F16" s="607" t="e">
        <f>IF(P16&gt;0,MAX(F10:F15)+1,0)</f>
        <v>#REF!</v>
      </c>
      <c r="G16" s="607" t="e">
        <f>#REF!</f>
        <v>#REF!</v>
      </c>
      <c r="H16" s="610" t="s">
        <v>78</v>
      </c>
      <c r="I16" s="610" t="s">
        <v>659</v>
      </c>
      <c r="J16" s="611" t="e">
        <f>#REF!</f>
        <v>#REF!</v>
      </c>
      <c r="K16" s="610" t="s">
        <v>660</v>
      </c>
      <c r="L16" s="612" t="e">
        <f>#REF!+#REF!</f>
        <v>#REF!</v>
      </c>
      <c r="M16" s="610" t="s">
        <v>661</v>
      </c>
      <c r="N16" s="612" t="e">
        <f>#REF!</f>
        <v>#REF!</v>
      </c>
      <c r="O16" s="610" t="s">
        <v>644</v>
      </c>
      <c r="P16" s="612" t="e">
        <f t="shared" si="0"/>
        <v>#REF!</v>
      </c>
    </row>
    <row r="17" spans="1:16" ht="15" customHeight="1" x14ac:dyDescent="0.3">
      <c r="A17" s="607">
        <v>2</v>
      </c>
      <c r="C17" s="604" t="str">
        <f>IFERROR(VLOOKUP(A17,$F$10:$P$27,4,0),"")</f>
        <v/>
      </c>
      <c r="D17" s="601" t="str">
        <f>IFERROR(VLOOKUP($A$17,$F$10:$P$27,5,0),"")</f>
        <v/>
      </c>
      <c r="F17" s="607" t="e">
        <f>IF(P17&gt;0,MAX(F10:F16)+1,0)</f>
        <v>#REF!</v>
      </c>
      <c r="G17" s="607" t="e">
        <f>#REF!</f>
        <v>#REF!</v>
      </c>
      <c r="H17" s="610" t="s">
        <v>667</v>
      </c>
      <c r="I17" s="610" t="s">
        <v>659</v>
      </c>
      <c r="J17" s="611" t="e">
        <f>#REF!</f>
        <v>#REF!</v>
      </c>
      <c r="K17" s="610" t="s">
        <v>660</v>
      </c>
      <c r="L17" s="612" t="e">
        <f>#REF!+#REF!</f>
        <v>#REF!</v>
      </c>
      <c r="M17" s="610" t="s">
        <v>661</v>
      </c>
      <c r="N17" s="612" t="e">
        <f>#REF!</f>
        <v>#REF!</v>
      </c>
      <c r="O17" s="610" t="s">
        <v>644</v>
      </c>
      <c r="P17" s="612" t="e">
        <f t="shared" si="0"/>
        <v>#REF!</v>
      </c>
    </row>
    <row r="18" spans="1:16" ht="15" customHeight="1" x14ac:dyDescent="0.3">
      <c r="C18" s="604" t="str">
        <f>IFERROR(VLOOKUP(A17,$F$10:$P$27,6,0),"")</f>
        <v/>
      </c>
      <c r="D18" s="602" t="str">
        <f>IFERROR(VLOOKUP(A17,$F$10:$P$27,7,0),"")</f>
        <v/>
      </c>
      <c r="F18" s="607" t="e">
        <f>IF(P18&gt;0,MAX(F10:F17)+1,0)</f>
        <v>#REF!</v>
      </c>
      <c r="G18" s="607" t="e">
        <f>#REF!</f>
        <v>#REF!</v>
      </c>
      <c r="H18" s="610" t="s">
        <v>668</v>
      </c>
      <c r="I18" s="610" t="s">
        <v>659</v>
      </c>
      <c r="J18" s="611" t="e">
        <f>#REF!</f>
        <v>#REF!</v>
      </c>
      <c r="K18" s="610" t="s">
        <v>660</v>
      </c>
      <c r="L18" s="612" t="e">
        <f>#REF!+#REF!</f>
        <v>#REF!</v>
      </c>
      <c r="M18" s="610" t="s">
        <v>661</v>
      </c>
      <c r="N18" s="612" t="e">
        <f>#REF!</f>
        <v>#REF!</v>
      </c>
      <c r="O18" s="610" t="s">
        <v>644</v>
      </c>
      <c r="P18" s="612" t="e">
        <f t="shared" si="0"/>
        <v>#REF!</v>
      </c>
    </row>
    <row r="19" spans="1:16" ht="15" customHeight="1" x14ac:dyDescent="0.3">
      <c r="C19" s="604" t="str">
        <f>IFERROR(VLOOKUP(A17,$F$10:$P$27,8,0),"")</f>
        <v/>
      </c>
      <c r="D19" s="602" t="str">
        <f>IFERROR(VLOOKUP(A17,$F$10:$P$27,9,0),"")</f>
        <v/>
      </c>
      <c r="F19" s="607" t="e">
        <f>IF(P19&gt;0,MAX(F10:F18)+1,0)</f>
        <v>#REF!</v>
      </c>
      <c r="G19" s="607" t="e">
        <f>#REF!</f>
        <v>#REF!</v>
      </c>
      <c r="H19" s="610" t="s">
        <v>669</v>
      </c>
      <c r="I19" s="610" t="s">
        <v>659</v>
      </c>
      <c r="J19" s="611" t="e">
        <f>#REF!</f>
        <v>#REF!</v>
      </c>
      <c r="K19" s="610" t="s">
        <v>660</v>
      </c>
      <c r="L19" s="611" t="e">
        <f>#REF!+#REF!</f>
        <v>#REF!</v>
      </c>
      <c r="M19" s="610" t="s">
        <v>661</v>
      </c>
      <c r="N19" s="611" t="e">
        <f>#REF!</f>
        <v>#REF!</v>
      </c>
      <c r="O19" s="610" t="s">
        <v>644</v>
      </c>
      <c r="P19" s="612" t="e">
        <f t="shared" si="0"/>
        <v>#REF!</v>
      </c>
    </row>
    <row r="20" spans="1:16" ht="15" customHeight="1" x14ac:dyDescent="0.3">
      <c r="C20" s="604" t="str">
        <f>IFERROR(VLOOKUP(A17,$F$10:$P$27,10,0),"")</f>
        <v/>
      </c>
      <c r="D20" s="602" t="str">
        <f>IFERROR(VLOOKUP(A17,$F$10:$P$27,11,0),"")</f>
        <v/>
      </c>
      <c r="F20" s="607" t="e">
        <f>IF(P20&gt;0,MAX(F10:F19)+1,0)</f>
        <v>#REF!</v>
      </c>
      <c r="G20" s="607" t="e">
        <f>#REF!</f>
        <v>#REF!</v>
      </c>
      <c r="H20" s="610" t="s">
        <v>86</v>
      </c>
      <c r="I20" s="610" t="s">
        <v>659</v>
      </c>
      <c r="J20" s="611" t="e">
        <f>#REF!</f>
        <v>#REF!</v>
      </c>
      <c r="K20" s="610" t="s">
        <v>660</v>
      </c>
      <c r="L20" s="612" t="e">
        <f>#REF!+#REF!</f>
        <v>#REF!</v>
      </c>
      <c r="M20" s="610" t="s">
        <v>661</v>
      </c>
      <c r="N20" s="612" t="e">
        <f>#REF!</f>
        <v>#REF!</v>
      </c>
      <c r="O20" s="610" t="s">
        <v>644</v>
      </c>
      <c r="P20" s="612" t="e">
        <f t="shared" si="0"/>
        <v>#REF!</v>
      </c>
    </row>
    <row r="21" spans="1:16" ht="15" customHeight="1" x14ac:dyDescent="0.3">
      <c r="F21" s="607" t="e">
        <f>IF(P21&gt;0,MAX(F10:F20)+1,0)</f>
        <v>#REF!</v>
      </c>
      <c r="G21" s="607" t="e">
        <f>#REF!</f>
        <v>#REF!</v>
      </c>
      <c r="H21" s="610" t="s">
        <v>670</v>
      </c>
      <c r="I21" s="610" t="s">
        <v>659</v>
      </c>
      <c r="J21" s="611" t="e">
        <f>#REF!</f>
        <v>#REF!</v>
      </c>
      <c r="K21" s="610" t="s">
        <v>660</v>
      </c>
      <c r="L21" s="612" t="e">
        <f>#REF!+#REF!</f>
        <v>#REF!</v>
      </c>
      <c r="M21" s="610" t="s">
        <v>661</v>
      </c>
      <c r="N21" s="612" t="e">
        <f>#REF!</f>
        <v>#REF!</v>
      </c>
      <c r="O21" s="610" t="s">
        <v>644</v>
      </c>
      <c r="P21" s="612" t="e">
        <f t="shared" si="0"/>
        <v>#REF!</v>
      </c>
    </row>
    <row r="22" spans="1:16" ht="15" customHeight="1" x14ac:dyDescent="0.3">
      <c r="B22" s="605" t="str">
        <f>IFERROR(VLOOKUP(A23,$F$10:$P$27,2,0),"")</f>
        <v/>
      </c>
      <c r="C22" s="606" t="str">
        <f>IFERROR(VLOOKUP(A23,$F$10:$P$27,3,0),"")</f>
        <v/>
      </c>
      <c r="D22" s="609"/>
      <c r="F22" s="607" t="e">
        <f>IF(P22&gt;0,MAX(F10:F21)+1,0)</f>
        <v>#REF!</v>
      </c>
      <c r="G22" s="607" t="e">
        <f>#REF!</f>
        <v>#REF!</v>
      </c>
      <c r="H22" s="610" t="s">
        <v>671</v>
      </c>
      <c r="I22" s="610" t="s">
        <v>659</v>
      </c>
      <c r="J22" s="611" t="e">
        <f>#REF!</f>
        <v>#REF!</v>
      </c>
      <c r="K22" s="610" t="s">
        <v>660</v>
      </c>
      <c r="L22" s="612" t="e">
        <f>#REF!+#REF!</f>
        <v>#REF!</v>
      </c>
      <c r="M22" s="610" t="s">
        <v>661</v>
      </c>
      <c r="N22" s="612" t="e">
        <f>#REF!</f>
        <v>#REF!</v>
      </c>
      <c r="O22" s="610" t="s">
        <v>644</v>
      </c>
      <c r="P22" s="612" t="e">
        <f t="shared" si="0"/>
        <v>#REF!</v>
      </c>
    </row>
    <row r="23" spans="1:16" ht="15" customHeight="1" x14ac:dyDescent="0.3">
      <c r="A23" s="607">
        <v>3</v>
      </c>
      <c r="C23" s="604" t="str">
        <f>IFERROR(VLOOKUP(A23,$F$10:$P$27,4,0),"")</f>
        <v/>
      </c>
      <c r="D23" s="601" t="str">
        <f>IFERROR(VLOOKUP(A23,$F$10:$P$27,5,0),"")</f>
        <v/>
      </c>
      <c r="F23" s="607" t="e">
        <f>IF(P23&gt;0,MAX(F10:F22)+1,0)</f>
        <v>#REF!</v>
      </c>
      <c r="G23" s="607" t="e">
        <f>#REF!</f>
        <v>#REF!</v>
      </c>
      <c r="H23" s="610" t="s">
        <v>672</v>
      </c>
      <c r="I23" s="610" t="s">
        <v>659</v>
      </c>
      <c r="J23" s="611" t="e">
        <f>#REF!</f>
        <v>#REF!</v>
      </c>
      <c r="K23" s="610" t="s">
        <v>660</v>
      </c>
      <c r="L23" s="612" t="e">
        <f>#REF!+#REF!</f>
        <v>#REF!</v>
      </c>
      <c r="M23" s="610" t="s">
        <v>661</v>
      </c>
      <c r="N23" s="612" t="e">
        <f>#REF!</f>
        <v>#REF!</v>
      </c>
      <c r="O23" s="610" t="s">
        <v>644</v>
      </c>
      <c r="P23" s="612" t="e">
        <f t="shared" si="0"/>
        <v>#REF!</v>
      </c>
    </row>
    <row r="24" spans="1:16" ht="15" customHeight="1" x14ac:dyDescent="0.3">
      <c r="C24" s="604" t="str">
        <f>IFERROR(VLOOKUP(A23,$F$10:$P$27,6,0),"")</f>
        <v/>
      </c>
      <c r="D24" s="602" t="str">
        <f>IFERROR(VLOOKUP(A23,$F$10:$P$27,7,0),"")</f>
        <v/>
      </c>
      <c r="F24" s="607" t="e">
        <f>IF(P24&gt;0,MAX(F10:F23)+1,0)</f>
        <v>#REF!</v>
      </c>
      <c r="G24" s="607" t="e">
        <f>#REF!</f>
        <v>#REF!</v>
      </c>
      <c r="H24" s="610" t="s">
        <v>673</v>
      </c>
      <c r="I24" s="610" t="s">
        <v>659</v>
      </c>
      <c r="J24" s="611" t="e">
        <f>#REF!</f>
        <v>#REF!</v>
      </c>
      <c r="K24" s="610" t="s">
        <v>660</v>
      </c>
      <c r="L24" s="612" t="e">
        <f>#REF!+#REF!</f>
        <v>#REF!</v>
      </c>
      <c r="M24" s="610" t="s">
        <v>661</v>
      </c>
      <c r="N24" s="612" t="e">
        <f>#REF!</f>
        <v>#REF!</v>
      </c>
      <c r="O24" s="610" t="s">
        <v>644</v>
      </c>
      <c r="P24" s="612" t="e">
        <f t="shared" si="0"/>
        <v>#REF!</v>
      </c>
    </row>
    <row r="25" spans="1:16" ht="15" customHeight="1" x14ac:dyDescent="0.3">
      <c r="C25" s="604" t="str">
        <f>IFERROR(VLOOKUP(A23,$F$10:$P$27,8,0),"")</f>
        <v/>
      </c>
      <c r="D25" s="602" t="str">
        <f>IFERROR(VLOOKUP(A23,$F$10:$P$27,9,0),"")</f>
        <v/>
      </c>
      <c r="F25" s="607">
        <f>IF(P25&gt;0,MAX(F10:F24)+1,0)</f>
        <v>0</v>
      </c>
      <c r="G25" s="607">
        <f>'weitere Besondere Leistungen'!A1</f>
        <v>0</v>
      </c>
      <c r="H25" s="610" t="s">
        <v>674</v>
      </c>
      <c r="M25" s="610" t="s">
        <v>661</v>
      </c>
      <c r="N25" s="612">
        <f>'weitere Besondere Leistungen'!H357</f>
        <v>0</v>
      </c>
      <c r="O25" s="610" t="s">
        <v>644</v>
      </c>
      <c r="P25" s="612">
        <f>I32+N25</f>
        <v>0</v>
      </c>
    </row>
    <row r="26" spans="1:16" ht="15" customHeight="1" x14ac:dyDescent="0.3">
      <c r="C26" s="604" t="str">
        <f>IFERROR(VLOOKUP(A23,$F$10:$P$27,10,0),"")</f>
        <v/>
      </c>
      <c r="D26" s="602" t="str">
        <f>IFERROR(VLOOKUP(A23,$F$10:$P$27,11,0),"")</f>
        <v/>
      </c>
      <c r="F26" s="607" t="e">
        <f>IF(P26&gt;0,MAX(F10:F25)+1,0)</f>
        <v>#REF!</v>
      </c>
      <c r="G26" s="607" t="e">
        <f>#REF!</f>
        <v>#REF!</v>
      </c>
      <c r="H26" s="610" t="s">
        <v>101</v>
      </c>
      <c r="M26" s="610" t="s">
        <v>661</v>
      </c>
      <c r="N26" s="612" t="e">
        <f>#REF!</f>
        <v>#REF!</v>
      </c>
      <c r="O26" s="610" t="s">
        <v>644</v>
      </c>
      <c r="P26" s="612" t="e">
        <f>I38+N26</f>
        <v>#REF!</v>
      </c>
    </row>
    <row r="27" spans="1:16" ht="15" customHeight="1" x14ac:dyDescent="0.3">
      <c r="D27" s="608"/>
      <c r="F27" s="607">
        <f>IF(P27&gt;0,MAX(F10:F26)+1,0)</f>
        <v>0</v>
      </c>
      <c r="G27" s="607" t="str">
        <f>'Auftragsänderungen &amp; -ergänzung'!A1</f>
        <v/>
      </c>
      <c r="H27" s="610" t="s">
        <v>675</v>
      </c>
      <c r="I27" s="611"/>
      <c r="M27" s="610" t="s">
        <v>676</v>
      </c>
      <c r="N27" s="612">
        <f>'Auftragsänderungen &amp; -ergänzung'!H82</f>
        <v>0</v>
      </c>
      <c r="O27" s="610" t="s">
        <v>644</v>
      </c>
      <c r="P27" s="612">
        <f>I29+N27</f>
        <v>0</v>
      </c>
    </row>
    <row r="28" spans="1:16" ht="15" customHeight="1" x14ac:dyDescent="0.3">
      <c r="B28" s="605" t="str">
        <f>IFERROR(VLOOKUP(A29,$F$10:$P$27,2,0),"")</f>
        <v/>
      </c>
      <c r="C28" s="606" t="str">
        <f>IFERROR(VLOOKUP(A29,$F$10:$P$27,3,0),"")</f>
        <v/>
      </c>
      <c r="D28" s="609"/>
      <c r="H28" s="610"/>
      <c r="I28" s="611"/>
    </row>
    <row r="29" spans="1:16" ht="15" customHeight="1" x14ac:dyDescent="0.3">
      <c r="A29" s="607">
        <v>4</v>
      </c>
      <c r="C29" s="604" t="str">
        <f>IFERROR(VLOOKUP(A29,$F$10:$P$27,4,0),"")</f>
        <v/>
      </c>
      <c r="D29" s="601" t="str">
        <f>IFERROR(VLOOKUP(A29,$F$10:$P$27,5,0),"")</f>
        <v/>
      </c>
      <c r="H29" s="610"/>
      <c r="I29" s="611"/>
    </row>
    <row r="30" spans="1:16" ht="15" customHeight="1" x14ac:dyDescent="0.3">
      <c r="C30" s="604" t="str">
        <f>IFERROR(VLOOKUP(A29,$F$10:$P$27,6,0),"")</f>
        <v/>
      </c>
      <c r="D30" s="602" t="str">
        <f>IFERROR(VLOOKUP(A29,$F$10:$P$27,7,0),"")</f>
        <v/>
      </c>
    </row>
    <row r="31" spans="1:16" ht="15" customHeight="1" x14ac:dyDescent="0.3">
      <c r="C31" s="604" t="str">
        <f>IFERROR(VLOOKUP(A29,$F$10:$P$27,8,0),"")</f>
        <v/>
      </c>
      <c r="D31" s="602" t="str">
        <f>IFERROR(VLOOKUP(A29,$F$10:$P$27,9,0),"")</f>
        <v/>
      </c>
    </row>
    <row r="32" spans="1:16" ht="15" customHeight="1" x14ac:dyDescent="0.3">
      <c r="C32" s="604" t="str">
        <f>IFERROR(VLOOKUP(A29,$F$10:$P$27,10,0),"")</f>
        <v/>
      </c>
      <c r="D32" s="602" t="str">
        <f>IFERROR(VLOOKUP(A29,$F$10:$P$27,11,0),"")</f>
        <v/>
      </c>
      <c r="H32" s="610"/>
      <c r="I32" s="611"/>
    </row>
    <row r="33" spans="1:9" ht="15" customHeight="1" x14ac:dyDescent="0.3"/>
    <row r="34" spans="1:9" ht="15" customHeight="1" x14ac:dyDescent="0.3">
      <c r="B34" s="605" t="str">
        <f>IFERROR(VLOOKUP(A35,$F$10:$P$27,2,0),"")</f>
        <v/>
      </c>
      <c r="C34" s="606" t="str">
        <f>IFERROR(VLOOKUP(A35,$F$10:$P$27,3,0),"")</f>
        <v/>
      </c>
      <c r="D34" s="609"/>
    </row>
    <row r="35" spans="1:9" ht="15" customHeight="1" x14ac:dyDescent="0.3">
      <c r="A35" s="607">
        <v>5</v>
      </c>
      <c r="C35" s="604" t="str">
        <f>IFERROR(VLOOKUP(A35,$F$10:$P$27,4,0),"")</f>
        <v/>
      </c>
      <c r="D35" s="601" t="str">
        <f>IFERROR(VLOOKUP(A35,$F$10:$P$27,5,0),"")</f>
        <v/>
      </c>
      <c r="I35" s="611"/>
    </row>
    <row r="36" spans="1:9" ht="15" customHeight="1" x14ac:dyDescent="0.3">
      <c r="C36" s="604" t="str">
        <f>IFERROR(VLOOKUP(A35,$F$10:$P$27,6,0),"")</f>
        <v/>
      </c>
      <c r="D36" s="602" t="str">
        <f>IFERROR(VLOOKUP(A35,$F$10:$P$27,7,0),"")</f>
        <v/>
      </c>
      <c r="I36" s="611"/>
    </row>
    <row r="37" spans="1:9" ht="15" customHeight="1" x14ac:dyDescent="0.3">
      <c r="C37" s="604" t="str">
        <f>IFERROR(VLOOKUP(A35,$F$10:$P$27,8,0),"")</f>
        <v/>
      </c>
      <c r="D37" s="602" t="str">
        <f>IFERROR(VLOOKUP(A35,$F$10:$P$27,9,0),"")</f>
        <v/>
      </c>
      <c r="H37" s="610"/>
      <c r="I37" s="611"/>
    </row>
    <row r="38" spans="1:9" ht="15" customHeight="1" x14ac:dyDescent="0.3">
      <c r="C38" s="604" t="str">
        <f>IFERROR(VLOOKUP(A35,$F$10:$P$27,10,0),"")</f>
        <v/>
      </c>
      <c r="D38" s="602" t="str">
        <f>IFERROR(VLOOKUP(A35,$F$10:$P$27,11,0),"")</f>
        <v/>
      </c>
      <c r="H38" s="610"/>
      <c r="I38" s="611"/>
    </row>
    <row r="39" spans="1:9" ht="15" customHeight="1" x14ac:dyDescent="0.3"/>
    <row r="40" spans="1:9" ht="15" customHeight="1" x14ac:dyDescent="0.3">
      <c r="B40" s="605" t="str">
        <f>IFERROR(VLOOKUP(A41,$F$10:$P$27,2,0),"")</f>
        <v/>
      </c>
      <c r="C40" s="606" t="str">
        <f>IFERROR(VLOOKUP(A41,$F$10:$P$27,3,0),"")</f>
        <v/>
      </c>
      <c r="D40" s="609"/>
    </row>
    <row r="41" spans="1:9" ht="15" customHeight="1" x14ac:dyDescent="0.3">
      <c r="A41" s="607">
        <v>6</v>
      </c>
      <c r="C41" s="604" t="str">
        <f>IFERROR(VLOOKUP(A41,$F$10:$P$27,4,0),"")</f>
        <v/>
      </c>
      <c r="D41" s="601" t="str">
        <f>IFERROR(VLOOKUP(A41,$F$10:$P$27,5,0),"")</f>
        <v/>
      </c>
      <c r="I41" s="611"/>
    </row>
    <row r="42" spans="1:9" ht="15" customHeight="1" x14ac:dyDescent="0.3">
      <c r="C42" s="604" t="str">
        <f>IFERROR(VLOOKUP(A41,$F$10:$P$27,6,0),"")</f>
        <v/>
      </c>
      <c r="D42" s="602" t="str">
        <f>IFERROR(VLOOKUP(A41,$F$10:$P$27,7,0),"")</f>
        <v/>
      </c>
    </row>
    <row r="43" spans="1:9" ht="15" customHeight="1" x14ac:dyDescent="0.3">
      <c r="C43" s="604" t="str">
        <f>IFERROR(VLOOKUP(A41,$F$10:$P$27,8,0),"")</f>
        <v/>
      </c>
      <c r="D43" s="602" t="str">
        <f>IFERROR(VLOOKUP(A41,$F$10:$P$27,9,0),"")</f>
        <v/>
      </c>
    </row>
    <row r="44" spans="1:9" ht="15" customHeight="1" x14ac:dyDescent="0.3">
      <c r="C44" s="604" t="str">
        <f>IFERROR(VLOOKUP(A41,$F$10:$P$27,10,0),"")</f>
        <v/>
      </c>
      <c r="D44" s="602" t="str">
        <f>IFERROR(VLOOKUP(A41,$F$10:$P$27,11,0),"")</f>
        <v/>
      </c>
    </row>
    <row r="45" spans="1:9" ht="15" customHeight="1" x14ac:dyDescent="0.3"/>
    <row r="46" spans="1:9" ht="15" customHeight="1" x14ac:dyDescent="0.3">
      <c r="B46" s="603" t="str">
        <f>IFERROR(VLOOKUP(A47,$F$10:$P$27,2,0),"")</f>
        <v/>
      </c>
      <c r="C46" s="604" t="str">
        <f>IFERROR(VLOOKUP(A47,$F$10:$P$27,3,0),"")</f>
        <v/>
      </c>
      <c r="D46" s="609"/>
    </row>
    <row r="47" spans="1:9" ht="15" customHeight="1" x14ac:dyDescent="0.3">
      <c r="A47" s="607">
        <v>7</v>
      </c>
      <c r="C47" s="604" t="str">
        <f>IFERROR(VLOOKUP(A47,$F$10:$P$27,4,0),"")</f>
        <v/>
      </c>
      <c r="D47" s="601" t="str">
        <f>IFERROR(VLOOKUP(A47,$F$10:$P$27,5,0),"")</f>
        <v/>
      </c>
    </row>
    <row r="48" spans="1:9" ht="15" customHeight="1" x14ac:dyDescent="0.3">
      <c r="C48" s="604" t="str">
        <f>IFERROR(VLOOKUP(A47,$F$10:$P$27,6,0),"")</f>
        <v/>
      </c>
      <c r="D48" s="602" t="str">
        <f>IFERROR(VLOOKUP(A47,$F$10:$P$27,7,0),"")</f>
        <v/>
      </c>
      <c r="I48" s="611"/>
    </row>
    <row r="49" spans="1:4" ht="15" customHeight="1" x14ac:dyDescent="0.3">
      <c r="C49" s="604" t="str">
        <f>IFERROR(VLOOKUP(A47,$F$10:$P$27,8,0),"")</f>
        <v/>
      </c>
      <c r="D49" s="602" t="str">
        <f>IFERROR(VLOOKUP(A47,$F$10:$P$27,9,0),"")</f>
        <v/>
      </c>
    </row>
    <row r="50" spans="1:4" ht="15" customHeight="1" x14ac:dyDescent="0.3">
      <c r="C50" s="604" t="str">
        <f>IFERROR(VLOOKUP(A47,$F$10:$P$27,10,0),"")</f>
        <v/>
      </c>
      <c r="D50" s="602" t="str">
        <f>IFERROR(VLOOKUP(A47,$F$10:$P$27,11,0),"")</f>
        <v/>
      </c>
    </row>
    <row r="51" spans="1:4" ht="15" customHeight="1" x14ac:dyDescent="0.3"/>
    <row r="52" spans="1:4" ht="15" customHeight="1" x14ac:dyDescent="0.3">
      <c r="B52" s="603" t="str">
        <f>IFERROR(VLOOKUP(A53,$F$10:$P$27,2,0),"")</f>
        <v/>
      </c>
      <c r="C52" s="604" t="str">
        <f>IFERROR(VLOOKUP(A53,$F$10:$P$27,3,0),"")</f>
        <v/>
      </c>
      <c r="D52" s="609"/>
    </row>
    <row r="53" spans="1:4" ht="15" customHeight="1" x14ac:dyDescent="0.3">
      <c r="A53" s="607">
        <v>8</v>
      </c>
      <c r="C53" s="604" t="str">
        <f>IFERROR(VLOOKUP(A53,$F$10:$P$27,4,0),"")</f>
        <v/>
      </c>
      <c r="D53" s="601" t="str">
        <f>IFERROR(VLOOKUP(A53,$F$10:$P$27,5,0),"")</f>
        <v/>
      </c>
    </row>
    <row r="54" spans="1:4" ht="15" customHeight="1" x14ac:dyDescent="0.3">
      <c r="C54" s="604" t="str">
        <f>IFERROR(VLOOKUP(A53,$F$10:$P$27,6,0),"")</f>
        <v/>
      </c>
      <c r="D54" s="602" t="str">
        <f>IFERROR(VLOOKUP(A53,$F$10:$P$27,7,0),"")</f>
        <v/>
      </c>
    </row>
    <row r="55" spans="1:4" ht="15" customHeight="1" x14ac:dyDescent="0.3">
      <c r="C55" s="604" t="str">
        <f>IFERROR(VLOOKUP(A53,$F$10:$P$27,8,0),"")</f>
        <v/>
      </c>
      <c r="D55" s="602" t="str">
        <f>IFERROR(VLOOKUP(A53,$F$10:$P$27,9,0),"")</f>
        <v/>
      </c>
    </row>
    <row r="56" spans="1:4" ht="15" customHeight="1" x14ac:dyDescent="0.3">
      <c r="C56" s="604" t="str">
        <f>IFERROR(VLOOKUP(A53,$F$10:$P$27,10,0),"")</f>
        <v/>
      </c>
      <c r="D56" s="602" t="str">
        <f>IFERROR(VLOOKUP(A53,$F$10:$P$27,11,0),"")</f>
        <v/>
      </c>
    </row>
    <row r="57" spans="1:4" ht="15" customHeight="1" x14ac:dyDescent="0.3"/>
    <row r="58" spans="1:4" ht="15" customHeight="1" x14ac:dyDescent="0.3">
      <c r="B58" s="603" t="str">
        <f>IFERROR(VLOOKUP(A59,$F$10:$P$27,2,0),"")</f>
        <v/>
      </c>
      <c r="C58" s="606" t="str">
        <f>IFERROR(VLOOKUP(A59,$F$10:$P$27,3,0),"")</f>
        <v/>
      </c>
      <c r="D58" s="609"/>
    </row>
    <row r="59" spans="1:4" ht="15" customHeight="1" x14ac:dyDescent="0.3">
      <c r="A59" s="607">
        <v>9</v>
      </c>
      <c r="C59" s="604" t="str">
        <f>IFERROR(VLOOKUP(A59,$F$10:$P$27,4,0),"")</f>
        <v/>
      </c>
      <c r="D59" s="601" t="str">
        <f>IFERROR(VLOOKUP(A59,$F$10:$P$27,5,0),"")</f>
        <v/>
      </c>
    </row>
    <row r="60" spans="1:4" ht="15" customHeight="1" x14ac:dyDescent="0.3">
      <c r="C60" s="604" t="str">
        <f>IFERROR(VLOOKUP(A59,$F$10:$P$27,6,0),"")</f>
        <v/>
      </c>
      <c r="D60" s="602" t="str">
        <f>IFERROR(VLOOKUP(A59,$F$10:$P$27,7,0),"")</f>
        <v/>
      </c>
    </row>
    <row r="61" spans="1:4" ht="15" customHeight="1" x14ac:dyDescent="0.3">
      <c r="C61" s="604" t="str">
        <f>IFERROR(VLOOKUP(A59,$F$10:$P$27,8,0),"")</f>
        <v/>
      </c>
      <c r="D61" s="602" t="str">
        <f>IFERROR(VLOOKUP(A59,$F$10:$P$27,9,0),"")</f>
        <v/>
      </c>
    </row>
    <row r="62" spans="1:4" ht="15" customHeight="1" x14ac:dyDescent="0.3">
      <c r="C62" s="604" t="str">
        <f>IFERROR(VLOOKUP(A59,$F$10:$P$27,10,0),"")</f>
        <v/>
      </c>
      <c r="D62" s="602" t="str">
        <f>IFERROR(VLOOKUP(A59,$F$10:$P$27,11,0),"")</f>
        <v/>
      </c>
    </row>
    <row r="63" spans="1:4" ht="15" customHeight="1" x14ac:dyDescent="0.3"/>
    <row r="64" spans="1:4" ht="15" customHeight="1" x14ac:dyDescent="0.3">
      <c r="B64" s="603" t="str">
        <f>IFERROR(VLOOKUP(A65,$F$10:$P$27,2,0),"")</f>
        <v/>
      </c>
      <c r="C64" s="606" t="str">
        <f>IFERROR(VLOOKUP(A65,$F$10:$P$27,3,0),"")</f>
        <v/>
      </c>
      <c r="D64" s="609"/>
    </row>
    <row r="65" spans="1:4" ht="15" customHeight="1" x14ac:dyDescent="0.3">
      <c r="A65" s="607">
        <v>10</v>
      </c>
      <c r="C65" s="604" t="str">
        <f>IFERROR(VLOOKUP(A65,$F$10:$P$27,4,0),"")</f>
        <v/>
      </c>
      <c r="D65" s="601" t="str">
        <f>IFERROR(VLOOKUP(A65,$F$10:$P$27,5,0),"")</f>
        <v/>
      </c>
    </row>
    <row r="66" spans="1:4" ht="15" customHeight="1" x14ac:dyDescent="0.3">
      <c r="C66" s="604" t="str">
        <f>IFERROR(VLOOKUP(A65,$F$10:$P$27,6,0),"")</f>
        <v/>
      </c>
      <c r="D66" s="602" t="str">
        <f>IFERROR(VLOOKUP(A65,$F$10:$P$27,7,0),"")</f>
        <v/>
      </c>
    </row>
    <row r="67" spans="1:4" ht="15" customHeight="1" x14ac:dyDescent="0.3">
      <c r="C67" s="604" t="str">
        <f>IFERROR(VLOOKUP(A65,$F$10:$P$27,8,0),"")</f>
        <v/>
      </c>
      <c r="D67" s="602" t="str">
        <f>IFERROR(VLOOKUP(A65,$F$10:$P$27,9,0),"")</f>
        <v/>
      </c>
    </row>
    <row r="68" spans="1:4" ht="15" customHeight="1" x14ac:dyDescent="0.3">
      <c r="C68" s="604" t="str">
        <f>IFERROR(VLOOKUP(A65,$F$10:$P$27,10,0),"")</f>
        <v/>
      </c>
      <c r="D68" s="602" t="str">
        <f>IFERROR(VLOOKUP(A65,$F$10:$P$27,11,0),"")</f>
        <v/>
      </c>
    </row>
    <row r="69" spans="1:4" ht="15" customHeight="1" x14ac:dyDescent="0.3"/>
    <row r="70" spans="1:4" ht="15" customHeight="1" x14ac:dyDescent="0.3">
      <c r="B70" s="603" t="str">
        <f>IFERROR(VLOOKUP(A71,$F$10:$P$27,2,0),"")</f>
        <v/>
      </c>
      <c r="C70" s="606" t="str">
        <f>IFERROR(VLOOKUP(A71,$F$10:$P$27,3,0),"")</f>
        <v/>
      </c>
      <c r="D70" s="609"/>
    </row>
    <row r="71" spans="1:4" ht="15" customHeight="1" x14ac:dyDescent="0.3">
      <c r="A71" s="607">
        <v>11</v>
      </c>
      <c r="C71" s="604" t="str">
        <f>IFERROR(VLOOKUP(A71,$F$10:$P$27,4,0),"")</f>
        <v/>
      </c>
      <c r="D71" s="601" t="str">
        <f>IFERROR(VLOOKUP(A71,$F$10:$P$27,5,0),"")</f>
        <v/>
      </c>
    </row>
    <row r="72" spans="1:4" ht="15" customHeight="1" x14ac:dyDescent="0.3">
      <c r="C72" s="604" t="str">
        <f>IFERROR(VLOOKUP(A71,$F$10:$P$27,6,0),"")</f>
        <v/>
      </c>
      <c r="D72" s="602" t="str">
        <f>IFERROR(VLOOKUP(A71,$F$10:$P$27,7,0),"")</f>
        <v/>
      </c>
    </row>
    <row r="73" spans="1:4" ht="15" customHeight="1" x14ac:dyDescent="0.3">
      <c r="C73" s="604" t="str">
        <f>IFERROR(VLOOKUP(A71,$F$10:$P$27,8,0),"")</f>
        <v/>
      </c>
      <c r="D73" s="602" t="str">
        <f>IFERROR(VLOOKUP(A71,$F$10:$P$27,9,0),"")</f>
        <v/>
      </c>
    </row>
    <row r="74" spans="1:4" ht="15" customHeight="1" x14ac:dyDescent="0.3">
      <c r="C74" s="604" t="str">
        <f>IFERROR(VLOOKUP(A71,$F$10:$P$27,10,0),"")</f>
        <v/>
      </c>
      <c r="D74" s="602" t="str">
        <f>IFERROR(VLOOKUP(A71,$F$10:$P$27,11,0),"")</f>
        <v/>
      </c>
    </row>
    <row r="75" spans="1:4" ht="15" customHeight="1" x14ac:dyDescent="0.3"/>
    <row r="76" spans="1:4" ht="15" customHeight="1" x14ac:dyDescent="0.3">
      <c r="B76" s="603" t="str">
        <f>IFERROR(VLOOKUP(A77,$F$10:$P$27,2,0),"")</f>
        <v/>
      </c>
      <c r="C76" s="606" t="str">
        <f>IFERROR(VLOOKUP(A77,$F$10:$P$27,3,0),"")</f>
        <v/>
      </c>
      <c r="D76" s="609"/>
    </row>
    <row r="77" spans="1:4" ht="15" customHeight="1" x14ac:dyDescent="0.3">
      <c r="A77" s="607">
        <v>12</v>
      </c>
      <c r="C77" s="604" t="str">
        <f>IFERROR(VLOOKUP(A77,$F$10:$P$27,4,0),"")</f>
        <v/>
      </c>
      <c r="D77" s="601" t="str">
        <f>IFERROR(VLOOKUP(A77,$F$10:$P$27,5,0),"")</f>
        <v/>
      </c>
    </row>
    <row r="78" spans="1:4" ht="15" customHeight="1" x14ac:dyDescent="0.3">
      <c r="C78" s="604" t="str">
        <f>IFERROR(VLOOKUP(A77,$F$10:$P$27,6,0),"")</f>
        <v/>
      </c>
      <c r="D78" s="602" t="str">
        <f>IFERROR(VLOOKUP(A77,$F$10:$P$27,7,0),"")</f>
        <v/>
      </c>
    </row>
    <row r="79" spans="1:4" ht="15" customHeight="1" x14ac:dyDescent="0.3">
      <c r="C79" s="604" t="str">
        <f>IFERROR(VLOOKUP(A77,$F$10:$P$27,8,0),"")</f>
        <v/>
      </c>
      <c r="D79" s="602" t="str">
        <f>IFERROR(VLOOKUP(A77,$F$10:$P$27,9,0),"")</f>
        <v/>
      </c>
    </row>
    <row r="80" spans="1:4" ht="15" customHeight="1" x14ac:dyDescent="0.3">
      <c r="C80" s="604" t="str">
        <f>IFERROR(VLOOKUP(A77,$F$10:$P$27,10,0),"")</f>
        <v/>
      </c>
      <c r="D80" s="602" t="str">
        <f>IFERROR(VLOOKUP(A77,$F$10:$P$27,11,0),"")</f>
        <v/>
      </c>
    </row>
    <row r="81" spans="1:4" ht="15" customHeight="1" x14ac:dyDescent="0.3"/>
    <row r="82" spans="1:4" ht="15" customHeight="1" x14ac:dyDescent="0.3">
      <c r="B82" s="603" t="str">
        <f>IFERROR(VLOOKUP(A83,$F$10:$P$27,2,0),"")</f>
        <v/>
      </c>
      <c r="C82" s="606" t="str">
        <f>IFERROR(VLOOKUP(A83,$F$10:$P$27,3,0),"")</f>
        <v/>
      </c>
      <c r="D82" s="609"/>
    </row>
    <row r="83" spans="1:4" ht="15" customHeight="1" x14ac:dyDescent="0.3">
      <c r="A83" s="607">
        <v>13</v>
      </c>
      <c r="C83" s="604" t="str">
        <f>IFERROR(VLOOKUP(A83,$F$10:$P$27,4,0),"")</f>
        <v/>
      </c>
      <c r="D83" s="601" t="str">
        <f>IFERROR(VLOOKUP(A83,$F$10:$P$27,5,0),"")</f>
        <v/>
      </c>
    </row>
    <row r="84" spans="1:4" ht="15" customHeight="1" x14ac:dyDescent="0.3">
      <c r="C84" s="604" t="str">
        <f>IFERROR(VLOOKUP(A83,$F$10:$P$27,6,0),"")</f>
        <v/>
      </c>
      <c r="D84" s="602" t="str">
        <f>IFERROR(VLOOKUP(A83,$F$10:$P$27,7,0),"")</f>
        <v/>
      </c>
    </row>
    <row r="85" spans="1:4" ht="15" customHeight="1" x14ac:dyDescent="0.3">
      <c r="C85" s="604" t="str">
        <f>IFERROR(VLOOKUP(A83,$F$10:$P$27,8,0),"")</f>
        <v/>
      </c>
      <c r="D85" s="602" t="str">
        <f>IFERROR(VLOOKUP(A83,$F$10:$P$27,9,0),"")</f>
        <v/>
      </c>
    </row>
    <row r="86" spans="1:4" ht="15" customHeight="1" x14ac:dyDescent="0.3">
      <c r="C86" s="604" t="str">
        <f>IFERROR(VLOOKUP(A83,$F$10:$P$27,10,0),"")</f>
        <v/>
      </c>
      <c r="D86" s="602" t="str">
        <f>IFERROR(VLOOKUP(A83,$F$10:$P$27,11,0),"")</f>
        <v/>
      </c>
    </row>
    <row r="87" spans="1:4" ht="15" customHeight="1" x14ac:dyDescent="0.3"/>
    <row r="88" spans="1:4" ht="15" customHeight="1" x14ac:dyDescent="0.3">
      <c r="B88" s="603" t="str">
        <f>IFERROR(VLOOKUP(A89,$F$10:$P$27,2,0),"")</f>
        <v/>
      </c>
      <c r="C88" s="606" t="str">
        <f>IFERROR(VLOOKUP(A89,$F$10:$P$27,3,0),"")</f>
        <v/>
      </c>
      <c r="D88" s="609"/>
    </row>
    <row r="89" spans="1:4" ht="15" customHeight="1" x14ac:dyDescent="0.3">
      <c r="A89" s="607">
        <v>14</v>
      </c>
      <c r="C89" s="604" t="str">
        <f>IFERROR(VLOOKUP(A89,$F$10:$P$27,4,0),"")</f>
        <v/>
      </c>
      <c r="D89" s="601" t="str">
        <f>IFERROR(VLOOKUP(A89,$F$10:$P$27,5,0),"")</f>
        <v/>
      </c>
    </row>
    <row r="90" spans="1:4" ht="15" customHeight="1" x14ac:dyDescent="0.3">
      <c r="C90" s="604" t="str">
        <f>IFERROR(VLOOKUP(A89,$F$10:$P$27,6,0),"")</f>
        <v/>
      </c>
      <c r="D90" s="602" t="str">
        <f>IFERROR(VLOOKUP(A89,$F$10:$P$27,7,0),"")</f>
        <v/>
      </c>
    </row>
    <row r="91" spans="1:4" ht="15" customHeight="1" x14ac:dyDescent="0.3">
      <c r="C91" s="604" t="str">
        <f>IFERROR(VLOOKUP(A89,$F$10:$P$27,8,0),"")</f>
        <v/>
      </c>
      <c r="D91" s="602" t="str">
        <f>IFERROR(VLOOKUP(A89,$F$10:$P$27,9,0),"")</f>
        <v/>
      </c>
    </row>
    <row r="92" spans="1:4" ht="15" customHeight="1" x14ac:dyDescent="0.3">
      <c r="C92" s="604" t="str">
        <f>IFERROR(VLOOKUP(A89,$F$10:$P$27,10,0),"")</f>
        <v/>
      </c>
      <c r="D92" s="602" t="str">
        <f>IFERROR(VLOOKUP(A89,$F$10:$P$27,11,0),"")</f>
        <v/>
      </c>
    </row>
    <row r="93" spans="1:4" ht="15" customHeight="1" x14ac:dyDescent="0.3"/>
    <row r="94" spans="1:4" ht="15" customHeight="1" x14ac:dyDescent="0.3">
      <c r="B94" s="603" t="str">
        <f>IFERROR(VLOOKUP(A95,$F$10:$P$27,2,0),"")</f>
        <v/>
      </c>
      <c r="C94" s="606" t="str">
        <f>IFERROR(VLOOKUP(A95,$F$10:$P$27,3,0),"")</f>
        <v/>
      </c>
      <c r="D94" s="609"/>
    </row>
    <row r="95" spans="1:4" ht="15" customHeight="1" x14ac:dyDescent="0.3">
      <c r="A95" s="607">
        <v>15</v>
      </c>
      <c r="C95" s="604" t="str">
        <f>IFERROR(VLOOKUP(A95,$F$10:$P$27,4,0),"")</f>
        <v/>
      </c>
      <c r="D95" s="601" t="str">
        <f>IFERROR(VLOOKUP(A95,$F$10:$P$27,5,0),"")</f>
        <v/>
      </c>
    </row>
    <row r="96" spans="1:4" ht="15" customHeight="1" x14ac:dyDescent="0.3">
      <c r="C96" s="604" t="str">
        <f>IFERROR(VLOOKUP(A95,$F$10:$P$27,6,0),"")</f>
        <v/>
      </c>
      <c r="D96" s="602" t="str">
        <f>IFERROR(VLOOKUP(A95,$F$10:$P$27,7,0),"")</f>
        <v/>
      </c>
    </row>
    <row r="97" spans="1:4" ht="15" customHeight="1" x14ac:dyDescent="0.3">
      <c r="C97" s="604" t="str">
        <f>IFERROR(VLOOKUP(A95,$F$10:$P$27,8,0),"")</f>
        <v/>
      </c>
      <c r="D97" s="602" t="str">
        <f>IFERROR(VLOOKUP(A95,$F$10:$P$27,9,0),"")</f>
        <v/>
      </c>
    </row>
    <row r="98" spans="1:4" ht="15" customHeight="1" x14ac:dyDescent="0.3">
      <c r="C98" s="604" t="str">
        <f>IFERROR(VLOOKUP(A95,$F$10:$P$27,10,0),"")</f>
        <v/>
      </c>
      <c r="D98" s="602" t="str">
        <f>IFERROR(VLOOKUP(A95,$F$10:$P$27,11,0),"")</f>
        <v/>
      </c>
    </row>
    <row r="99" spans="1:4" ht="15" customHeight="1" x14ac:dyDescent="0.3"/>
    <row r="100" spans="1:4" ht="15" customHeight="1" x14ac:dyDescent="0.3">
      <c r="B100" s="603" t="str">
        <f>IFERROR(VLOOKUP(A101,$F$10:$P$27,2,0),"")</f>
        <v/>
      </c>
      <c r="C100" s="606" t="str">
        <f>IFERROR(VLOOKUP(A101,$F$10:$P$27,3,0),"")</f>
        <v/>
      </c>
      <c r="D100" s="609"/>
    </row>
    <row r="101" spans="1:4" ht="15" customHeight="1" x14ac:dyDescent="0.3">
      <c r="A101" s="607">
        <v>16</v>
      </c>
      <c r="C101" s="604" t="str">
        <f>IFERROR(VLOOKUP(A101,$F$10:$P$27,4,0),"")</f>
        <v/>
      </c>
      <c r="D101" s="601" t="str">
        <f>IFERROR(VLOOKUP(A101,$F$10:$P$27,5,0),"")</f>
        <v/>
      </c>
    </row>
    <row r="102" spans="1:4" ht="15" customHeight="1" x14ac:dyDescent="0.3">
      <c r="C102" s="604" t="str">
        <f>IFERROR(VLOOKUP(A101,$F$10:$P$27,6,0),"")</f>
        <v/>
      </c>
      <c r="D102" s="602" t="str">
        <f>IFERROR(VLOOKUP(A101,$F$10:$P$27,7,0),"")</f>
        <v/>
      </c>
    </row>
    <row r="103" spans="1:4" ht="15" customHeight="1" x14ac:dyDescent="0.3">
      <c r="C103" s="604" t="str">
        <f>IFERROR(VLOOKUP(A101,$F$10:$P$27,8,0),"")</f>
        <v/>
      </c>
      <c r="D103" s="602" t="str">
        <f>IFERROR(VLOOKUP(A101,$F$10:$P$27,9,0),"")</f>
        <v/>
      </c>
    </row>
    <row r="104" spans="1:4" ht="15" customHeight="1" x14ac:dyDescent="0.3">
      <c r="C104" s="604" t="str">
        <f>IFERROR(VLOOKUP(A101,$F$10:$P$27,10,0),"")</f>
        <v/>
      </c>
      <c r="D104" s="602" t="str">
        <f>IFERROR(VLOOKUP(A101,$F$10:$P$27,11,0),"")</f>
        <v/>
      </c>
    </row>
    <row r="105" spans="1:4" ht="15" customHeight="1" x14ac:dyDescent="0.3"/>
    <row r="106" spans="1:4" ht="15" customHeight="1" x14ac:dyDescent="0.3">
      <c r="B106" s="603" t="str">
        <f>IFERROR(VLOOKUP(A107,$F$10:$P$27,2,0),"")</f>
        <v/>
      </c>
      <c r="C106" s="606" t="str">
        <f>IFERROR(VLOOKUP(A107,$F$10:$P$27,3,0),"")</f>
        <v/>
      </c>
      <c r="D106" s="609"/>
    </row>
    <row r="107" spans="1:4" ht="15" customHeight="1" x14ac:dyDescent="0.3">
      <c r="A107" s="607">
        <v>17</v>
      </c>
      <c r="C107" s="604" t="str">
        <f>IFERROR(VLOOKUP(A107,$F$10:$P$27,4,0),"")</f>
        <v/>
      </c>
      <c r="D107" s="601" t="str">
        <f>IFERROR(VLOOKUP(A107,$F$10:$P$27,5,0),"")</f>
        <v/>
      </c>
    </row>
    <row r="108" spans="1:4" ht="15" customHeight="1" x14ac:dyDescent="0.3">
      <c r="C108" s="604" t="str">
        <f>IFERROR(VLOOKUP(A107,$F$10:$P$27,6,0),"")</f>
        <v/>
      </c>
      <c r="D108" s="602" t="str">
        <f>IFERROR(VLOOKUP(A107,$F$10:$P$27,7,0),"")</f>
        <v/>
      </c>
    </row>
    <row r="109" spans="1:4" ht="15" customHeight="1" x14ac:dyDescent="0.3">
      <c r="C109" s="604" t="str">
        <f>IFERROR(VLOOKUP(A107,$F$10:$P$27,8,0),"")</f>
        <v/>
      </c>
      <c r="D109" s="602" t="str">
        <f>IFERROR(VLOOKUP(A107,$F$10:$P$27,9,0),"")</f>
        <v/>
      </c>
    </row>
    <row r="110" spans="1:4" ht="15" customHeight="1" x14ac:dyDescent="0.3">
      <c r="C110" s="604" t="str">
        <f>IFERROR(VLOOKUP(A107,$F$10:$P$27,10,0),"")</f>
        <v/>
      </c>
      <c r="D110" s="602" t="str">
        <f>IFERROR(VLOOKUP(A107,$F$10:$P$27,11,0),"")</f>
        <v/>
      </c>
    </row>
    <row r="111" spans="1:4" ht="15" customHeight="1" x14ac:dyDescent="0.3"/>
    <row r="112" spans="1:4" ht="15" customHeight="1" x14ac:dyDescent="0.3">
      <c r="B112" s="603" t="str">
        <f>IFERROR(VLOOKUP(A113,$F$10:$P$27,2,0),"")</f>
        <v/>
      </c>
      <c r="C112" s="606" t="str">
        <f>IFERROR(VLOOKUP(A113,$F$10:$P$27,3,0),"")</f>
        <v/>
      </c>
      <c r="D112" s="609"/>
    </row>
    <row r="113" spans="1:9" ht="15" customHeight="1" x14ac:dyDescent="0.3">
      <c r="A113" s="607">
        <v>18</v>
      </c>
      <c r="C113" s="604" t="str">
        <f>IFERROR(VLOOKUP(A113,$F$10:$P$27,4,0),"")</f>
        <v/>
      </c>
      <c r="D113" s="601" t="str">
        <f>IFERROR(VLOOKUP(A113,$F$10:$P$27,5,0),"")</f>
        <v/>
      </c>
    </row>
    <row r="114" spans="1:9" ht="15" customHeight="1" x14ac:dyDescent="0.3">
      <c r="C114" s="604" t="str">
        <f>IFERROR(VLOOKUP(A113,$F$10:$P$27,6,0),"")</f>
        <v/>
      </c>
      <c r="D114" s="602" t="str">
        <f>IFERROR(VLOOKUP(A113,$F$10:$P$27,7,0),"")</f>
        <v/>
      </c>
    </row>
    <row r="115" spans="1:9" ht="15" customHeight="1" x14ac:dyDescent="0.3">
      <c r="C115" s="604" t="str">
        <f>IFERROR(VLOOKUP(A113,$F$10:$P$27,8,0),"")</f>
        <v/>
      </c>
      <c r="D115" s="602" t="str">
        <f>IFERROR(VLOOKUP(A113,$F$10:$P$27,9,0),"")</f>
        <v/>
      </c>
    </row>
    <row r="116" spans="1:9" ht="15" customHeight="1" x14ac:dyDescent="0.3">
      <c r="C116" s="604" t="str">
        <f>IFERROR(VLOOKUP(A113,$F$10:$P$27,10,0),"")</f>
        <v/>
      </c>
      <c r="D116" s="602" t="str">
        <f>IFERROR(VLOOKUP(A113,$F$10:$P$27,11,0),"")</f>
        <v/>
      </c>
    </row>
    <row r="117" spans="1:9" ht="15" customHeight="1" x14ac:dyDescent="0.3">
      <c r="I117" s="611"/>
    </row>
    <row r="118" spans="1:9" ht="15" customHeight="1" x14ac:dyDescent="0.3">
      <c r="I118" s="611"/>
    </row>
    <row r="119" spans="1:9" ht="15" customHeight="1" x14ac:dyDescent="0.3">
      <c r="I119" s="611"/>
    </row>
    <row r="120" spans="1:9" ht="15" customHeight="1" x14ac:dyDescent="0.3">
      <c r="I120" s="611"/>
    </row>
    <row r="121" spans="1:9" ht="15" customHeight="1" x14ac:dyDescent="0.3">
      <c r="I121" s="611"/>
    </row>
    <row r="122" spans="1:9" ht="15" customHeight="1" x14ac:dyDescent="0.3">
      <c r="I122" s="611"/>
    </row>
    <row r="123" spans="1:9" ht="15" customHeight="1" x14ac:dyDescent="0.3">
      <c r="I123" s="611"/>
    </row>
    <row r="124" spans="1:9" ht="15" customHeight="1" x14ac:dyDescent="0.3">
      <c r="I124" s="611"/>
    </row>
    <row r="125" spans="1:9" ht="15" customHeight="1" x14ac:dyDescent="0.3">
      <c r="I125" s="611"/>
    </row>
    <row r="126" spans="1:9" ht="15" customHeight="1" x14ac:dyDescent="0.3">
      <c r="I126" s="611"/>
    </row>
    <row r="127" spans="1:9" ht="15" customHeight="1" x14ac:dyDescent="0.3">
      <c r="I127" s="611"/>
    </row>
    <row r="128" spans="1:9" ht="15" customHeight="1" x14ac:dyDescent="0.3">
      <c r="I128" s="611"/>
    </row>
    <row r="129" spans="9:9" ht="15" customHeight="1" x14ac:dyDescent="0.3">
      <c r="I129" s="611"/>
    </row>
    <row r="130" spans="9:9" ht="15" customHeight="1" x14ac:dyDescent="0.3">
      <c r="I130" s="611"/>
    </row>
    <row r="131" spans="9:9" ht="15" customHeight="1" x14ac:dyDescent="0.3">
      <c r="I131" s="611"/>
    </row>
    <row r="132" spans="9:9" ht="15" customHeight="1" x14ac:dyDescent="0.3">
      <c r="I132" s="611"/>
    </row>
    <row r="133" spans="9:9" ht="15" customHeight="1" x14ac:dyDescent="0.3">
      <c r="I133" s="611"/>
    </row>
    <row r="134" spans="9:9" ht="15" customHeight="1" x14ac:dyDescent="0.3">
      <c r="I134" s="611"/>
    </row>
    <row r="135" spans="9:9" ht="15" customHeight="1" x14ac:dyDescent="0.3">
      <c r="I135" s="611"/>
    </row>
    <row r="136" spans="9:9" ht="15" customHeight="1" x14ac:dyDescent="0.3">
      <c r="I136" s="611"/>
    </row>
    <row r="137" spans="9:9" ht="15" customHeight="1" x14ac:dyDescent="0.3">
      <c r="I137" s="611"/>
    </row>
    <row r="138" spans="9:9" ht="15" customHeight="1" x14ac:dyDescent="0.3">
      <c r="I138" s="611"/>
    </row>
    <row r="139" spans="9:9" ht="15" customHeight="1" x14ac:dyDescent="0.3">
      <c r="I139" s="611"/>
    </row>
    <row r="140" spans="9:9" ht="15" customHeight="1" x14ac:dyDescent="0.3">
      <c r="I140" s="611"/>
    </row>
    <row r="141" spans="9:9" ht="15" customHeight="1" x14ac:dyDescent="0.3">
      <c r="I141" s="611"/>
    </row>
    <row r="142" spans="9:9" ht="15" customHeight="1" x14ac:dyDescent="0.3">
      <c r="I142" s="611"/>
    </row>
    <row r="143" spans="9:9" ht="15" customHeight="1" x14ac:dyDescent="0.3">
      <c r="I143" s="611"/>
    </row>
    <row r="144" spans="9:9" ht="15" customHeight="1" x14ac:dyDescent="0.3">
      <c r="I144" s="611"/>
    </row>
    <row r="145" spans="9:9" ht="15" customHeight="1" x14ac:dyDescent="0.3">
      <c r="I145" s="611"/>
    </row>
    <row r="146" spans="9:9" ht="15" customHeight="1" x14ac:dyDescent="0.3">
      <c r="I146" s="611"/>
    </row>
    <row r="147" spans="9:9" ht="15" customHeight="1" x14ac:dyDescent="0.3">
      <c r="I147" s="611"/>
    </row>
    <row r="148" spans="9:9" ht="15" customHeight="1" x14ac:dyDescent="0.3">
      <c r="I148" s="611"/>
    </row>
    <row r="149" spans="9:9" ht="15" customHeight="1" x14ac:dyDescent="0.3">
      <c r="I149" s="611"/>
    </row>
    <row r="150" spans="9:9" ht="15" customHeight="1" x14ac:dyDescent="0.3">
      <c r="I150" s="611"/>
    </row>
    <row r="151" spans="9:9" ht="15" customHeight="1" x14ac:dyDescent="0.3">
      <c r="I151" s="611"/>
    </row>
    <row r="152" spans="9:9" ht="15" customHeight="1" x14ac:dyDescent="0.3">
      <c r="I152" s="611"/>
    </row>
    <row r="153" spans="9:9" ht="15" customHeight="1" x14ac:dyDescent="0.3">
      <c r="I153" s="611"/>
    </row>
    <row r="154" spans="9:9" ht="15" customHeight="1" x14ac:dyDescent="0.3">
      <c r="I154" s="611"/>
    </row>
    <row r="155" spans="9:9" ht="15" customHeight="1" x14ac:dyDescent="0.3">
      <c r="I155" s="611"/>
    </row>
    <row r="156" spans="9:9" ht="15" customHeight="1" x14ac:dyDescent="0.3">
      <c r="I156" s="611"/>
    </row>
    <row r="157" spans="9:9" ht="15" customHeight="1" x14ac:dyDescent="0.3">
      <c r="I157" s="611"/>
    </row>
    <row r="158" spans="9:9" ht="15" customHeight="1" x14ac:dyDescent="0.3">
      <c r="I158" s="611"/>
    </row>
    <row r="159" spans="9:9" ht="15" customHeight="1" x14ac:dyDescent="0.3">
      <c r="I159" s="611"/>
    </row>
    <row r="160" spans="9:9" ht="15" customHeight="1" x14ac:dyDescent="0.3">
      <c r="I160" s="611"/>
    </row>
    <row r="161" spans="9:9" ht="15" customHeight="1" x14ac:dyDescent="0.3">
      <c r="I161" s="611"/>
    </row>
    <row r="162" spans="9:9" ht="15" customHeight="1" x14ac:dyDescent="0.3">
      <c r="I162" s="611"/>
    </row>
    <row r="163" spans="9:9" ht="15" customHeight="1" x14ac:dyDescent="0.3">
      <c r="I163" s="611"/>
    </row>
    <row r="164" spans="9:9" ht="15" customHeight="1" x14ac:dyDescent="0.3">
      <c r="I164" s="611"/>
    </row>
    <row r="165" spans="9:9" ht="15" customHeight="1" x14ac:dyDescent="0.3">
      <c r="I165" s="611"/>
    </row>
    <row r="166" spans="9:9" ht="15" customHeight="1" x14ac:dyDescent="0.3">
      <c r="I166" s="611"/>
    </row>
    <row r="167" spans="9:9" ht="15" customHeight="1" x14ac:dyDescent="0.3">
      <c r="I167" s="611"/>
    </row>
    <row r="168" spans="9:9" ht="15" customHeight="1" x14ac:dyDescent="0.3">
      <c r="I168" s="611"/>
    </row>
    <row r="169" spans="9:9" ht="15" customHeight="1" x14ac:dyDescent="0.3">
      <c r="I169" s="611"/>
    </row>
    <row r="170" spans="9:9" ht="15" customHeight="1" x14ac:dyDescent="0.3">
      <c r="I170" s="611"/>
    </row>
    <row r="171" spans="9:9" ht="15" customHeight="1" x14ac:dyDescent="0.3">
      <c r="I171" s="611"/>
    </row>
    <row r="172" spans="9:9" ht="15" customHeight="1" x14ac:dyDescent="0.3">
      <c r="I172" s="611"/>
    </row>
    <row r="173" spans="9:9" ht="15" customHeight="1" x14ac:dyDescent="0.3">
      <c r="I173" s="611"/>
    </row>
    <row r="174" spans="9:9" ht="15" customHeight="1" x14ac:dyDescent="0.3">
      <c r="I174" s="611"/>
    </row>
    <row r="175" spans="9:9" ht="15" customHeight="1" x14ac:dyDescent="0.3">
      <c r="I175" s="611"/>
    </row>
    <row r="176" spans="9:9" ht="15" customHeight="1" x14ac:dyDescent="0.3">
      <c r="I176" s="611"/>
    </row>
    <row r="177" spans="9:9" ht="15" customHeight="1" x14ac:dyDescent="0.3">
      <c r="I177" s="611"/>
    </row>
    <row r="178" spans="9:9" ht="15" customHeight="1" x14ac:dyDescent="0.3">
      <c r="I178" s="611"/>
    </row>
    <row r="179" spans="9:9" ht="15" customHeight="1" x14ac:dyDescent="0.3">
      <c r="I179" s="611"/>
    </row>
    <row r="180" spans="9:9" ht="15" customHeight="1" x14ac:dyDescent="0.3">
      <c r="I180" s="611"/>
    </row>
    <row r="181" spans="9:9" ht="15" customHeight="1" x14ac:dyDescent="0.3">
      <c r="I181" s="611"/>
    </row>
    <row r="182" spans="9:9" ht="15" customHeight="1" x14ac:dyDescent="0.3">
      <c r="I182" s="611"/>
    </row>
    <row r="183" spans="9:9" ht="15" customHeight="1" x14ac:dyDescent="0.3">
      <c r="I183" s="611"/>
    </row>
    <row r="184" spans="9:9" ht="15" customHeight="1" x14ac:dyDescent="0.3">
      <c r="I184" s="611"/>
    </row>
    <row r="185" spans="9:9" ht="15" customHeight="1" x14ac:dyDescent="0.3">
      <c r="I185" s="611"/>
    </row>
    <row r="186" spans="9:9" ht="15" customHeight="1" x14ac:dyDescent="0.3">
      <c r="I186" s="611"/>
    </row>
    <row r="187" spans="9:9" ht="15" customHeight="1" x14ac:dyDescent="0.3">
      <c r="I187" s="611"/>
    </row>
    <row r="188" spans="9:9" ht="15" customHeight="1" x14ac:dyDescent="0.3">
      <c r="I188" s="611"/>
    </row>
    <row r="189" spans="9:9" ht="15" customHeight="1" x14ac:dyDescent="0.3">
      <c r="I189" s="611"/>
    </row>
    <row r="190" spans="9:9" ht="15" customHeight="1" x14ac:dyDescent="0.3">
      <c r="I190" s="611"/>
    </row>
    <row r="191" spans="9:9" ht="15" customHeight="1" x14ac:dyDescent="0.3">
      <c r="I191" s="611"/>
    </row>
    <row r="192" spans="9:9" ht="15" customHeight="1" x14ac:dyDescent="0.3">
      <c r="I192" s="611"/>
    </row>
    <row r="193" spans="9:9" ht="15" customHeight="1" x14ac:dyDescent="0.3">
      <c r="I193" s="611"/>
    </row>
    <row r="194" spans="9:9" ht="15" customHeight="1" x14ac:dyDescent="0.3">
      <c r="I194" s="611"/>
    </row>
    <row r="195" spans="9:9" ht="15" customHeight="1" x14ac:dyDescent="0.3">
      <c r="I195" s="611"/>
    </row>
    <row r="196" spans="9:9" ht="15" customHeight="1" x14ac:dyDescent="0.3">
      <c r="I196" s="611"/>
    </row>
    <row r="197" spans="9:9" ht="15" customHeight="1" x14ac:dyDescent="0.3">
      <c r="I197" s="611"/>
    </row>
    <row r="198" spans="9:9" ht="15" customHeight="1" x14ac:dyDescent="0.3">
      <c r="I198" s="611"/>
    </row>
    <row r="199" spans="9:9" ht="15" customHeight="1" x14ac:dyDescent="0.3">
      <c r="I199" s="611"/>
    </row>
    <row r="200" spans="9:9" ht="15" customHeight="1" x14ac:dyDescent="0.3">
      <c r="I200" s="611"/>
    </row>
    <row r="201" spans="9:9" ht="15" customHeight="1" x14ac:dyDescent="0.3">
      <c r="I201" s="611"/>
    </row>
    <row r="202" spans="9:9" ht="15" customHeight="1" x14ac:dyDescent="0.3">
      <c r="I202" s="611"/>
    </row>
    <row r="203" spans="9:9" ht="15" customHeight="1" x14ac:dyDescent="0.3">
      <c r="I203" s="611"/>
    </row>
    <row r="204" spans="9:9" ht="15" customHeight="1" x14ac:dyDescent="0.3">
      <c r="I204" s="611"/>
    </row>
    <row r="205" spans="9:9" ht="15" customHeight="1" x14ac:dyDescent="0.3">
      <c r="I205" s="611"/>
    </row>
    <row r="206" spans="9:9" ht="15" customHeight="1" x14ac:dyDescent="0.3">
      <c r="I206" s="611"/>
    </row>
    <row r="207" spans="9:9" ht="15" customHeight="1" x14ac:dyDescent="0.3">
      <c r="I207" s="611"/>
    </row>
    <row r="208" spans="9:9" ht="15" customHeight="1" x14ac:dyDescent="0.3">
      <c r="I208" s="611"/>
    </row>
    <row r="209" spans="9:9" ht="15" customHeight="1" x14ac:dyDescent="0.3">
      <c r="I209" s="611"/>
    </row>
    <row r="210" spans="9:9" ht="15" customHeight="1" x14ac:dyDescent="0.3">
      <c r="I210" s="611"/>
    </row>
    <row r="211" spans="9:9" ht="15" customHeight="1" x14ac:dyDescent="0.3">
      <c r="I211" s="611"/>
    </row>
    <row r="212" spans="9:9" ht="15" customHeight="1" x14ac:dyDescent="0.3">
      <c r="I212" s="611"/>
    </row>
    <row r="213" spans="9:9" ht="15" customHeight="1" x14ac:dyDescent="0.3">
      <c r="I213" s="611"/>
    </row>
    <row r="214" spans="9:9" ht="15" customHeight="1" x14ac:dyDescent="0.3">
      <c r="I214" s="611"/>
    </row>
    <row r="215" spans="9:9" ht="15" customHeight="1" x14ac:dyDescent="0.3">
      <c r="I215" s="611"/>
    </row>
    <row r="216" spans="9:9" ht="15" customHeight="1" x14ac:dyDescent="0.3">
      <c r="I216" s="611"/>
    </row>
    <row r="217" spans="9:9" ht="15" customHeight="1" x14ac:dyDescent="0.3">
      <c r="I217" s="611"/>
    </row>
    <row r="218" spans="9:9" ht="15" customHeight="1" x14ac:dyDescent="0.3">
      <c r="I218" s="611"/>
    </row>
    <row r="219" spans="9:9" ht="15" customHeight="1" x14ac:dyDescent="0.3">
      <c r="I219" s="611"/>
    </row>
    <row r="220" spans="9:9" ht="15" customHeight="1" x14ac:dyDescent="0.3">
      <c r="I220" s="611"/>
    </row>
    <row r="221" spans="9:9" ht="15" customHeight="1" x14ac:dyDescent="0.3">
      <c r="I221" s="611"/>
    </row>
    <row r="222" spans="9:9" ht="15" customHeight="1" x14ac:dyDescent="0.3">
      <c r="I222" s="611"/>
    </row>
    <row r="223" spans="9:9" ht="15" customHeight="1" x14ac:dyDescent="0.3">
      <c r="I223" s="611"/>
    </row>
    <row r="224" spans="9:9" ht="15" customHeight="1" x14ac:dyDescent="0.3">
      <c r="I224" s="611"/>
    </row>
    <row r="225" spans="9:9" ht="15" customHeight="1" x14ac:dyDescent="0.3">
      <c r="I225" s="611"/>
    </row>
    <row r="226" spans="9:9" ht="15" customHeight="1" x14ac:dyDescent="0.3">
      <c r="I226" s="611"/>
    </row>
    <row r="227" spans="9:9" ht="15" customHeight="1" x14ac:dyDescent="0.3">
      <c r="I227" s="611"/>
    </row>
    <row r="228" spans="9:9" ht="15" customHeight="1" x14ac:dyDescent="0.3">
      <c r="I228" s="611"/>
    </row>
    <row r="229" spans="9:9" ht="15" customHeight="1" x14ac:dyDescent="0.3">
      <c r="I229" s="611"/>
    </row>
    <row r="230" spans="9:9" ht="15" customHeight="1" x14ac:dyDescent="0.3">
      <c r="I230" s="611"/>
    </row>
    <row r="231" spans="9:9" ht="15" customHeight="1" x14ac:dyDescent="0.3">
      <c r="I231" s="611"/>
    </row>
    <row r="232" spans="9:9" ht="15" customHeight="1" x14ac:dyDescent="0.3">
      <c r="I232" s="611"/>
    </row>
    <row r="233" spans="9:9" ht="15" customHeight="1" x14ac:dyDescent="0.3">
      <c r="I233" s="611"/>
    </row>
    <row r="234" spans="9:9" ht="15" customHeight="1" x14ac:dyDescent="0.3">
      <c r="I234" s="611"/>
    </row>
    <row r="235" spans="9:9" ht="15" customHeight="1" x14ac:dyDescent="0.3">
      <c r="I235" s="611"/>
    </row>
    <row r="236" spans="9:9" ht="15" customHeight="1" x14ac:dyDescent="0.3">
      <c r="I236" s="611"/>
    </row>
    <row r="237" spans="9:9" ht="15" customHeight="1" x14ac:dyDescent="0.3">
      <c r="I237" s="611"/>
    </row>
    <row r="238" spans="9:9" ht="15" customHeight="1" x14ac:dyDescent="0.3">
      <c r="I238" s="611"/>
    </row>
    <row r="239" spans="9:9" ht="15" customHeight="1" x14ac:dyDescent="0.3">
      <c r="I239" s="611"/>
    </row>
    <row r="240" spans="9:9" ht="15" customHeight="1" x14ac:dyDescent="0.3">
      <c r="I240" s="611"/>
    </row>
    <row r="241" spans="9:9" ht="15" customHeight="1" x14ac:dyDescent="0.3">
      <c r="I241" s="611"/>
    </row>
    <row r="242" spans="9:9" ht="15" customHeight="1" x14ac:dyDescent="0.3">
      <c r="I242" s="611"/>
    </row>
    <row r="243" spans="9:9" ht="15" customHeight="1" x14ac:dyDescent="0.3">
      <c r="I243" s="611"/>
    </row>
    <row r="244" spans="9:9" ht="15" customHeight="1" x14ac:dyDescent="0.3">
      <c r="I244" s="611"/>
    </row>
    <row r="245" spans="9:9" ht="15" customHeight="1" x14ac:dyDescent="0.3">
      <c r="I245" s="611"/>
    </row>
    <row r="246" spans="9:9" ht="15" customHeight="1" x14ac:dyDescent="0.3">
      <c r="I246" s="611"/>
    </row>
    <row r="247" spans="9:9" ht="15" customHeight="1" x14ac:dyDescent="0.3">
      <c r="I247" s="611"/>
    </row>
    <row r="248" spans="9:9" ht="15" customHeight="1" x14ac:dyDescent="0.3">
      <c r="I248" s="611"/>
    </row>
    <row r="249" spans="9:9" ht="15" customHeight="1" x14ac:dyDescent="0.3">
      <c r="I249" s="611"/>
    </row>
    <row r="250" spans="9:9" ht="15" customHeight="1" x14ac:dyDescent="0.3">
      <c r="I250" s="611"/>
    </row>
    <row r="251" spans="9:9" ht="15" customHeight="1" x14ac:dyDescent="0.3">
      <c r="I251" s="611"/>
    </row>
    <row r="252" spans="9:9" ht="15" customHeight="1" x14ac:dyDescent="0.3">
      <c r="I252" s="611"/>
    </row>
    <row r="253" spans="9:9" ht="15" customHeight="1" x14ac:dyDescent="0.3">
      <c r="I253" s="611"/>
    </row>
    <row r="254" spans="9:9" ht="15" customHeight="1" x14ac:dyDescent="0.3">
      <c r="I254" s="611"/>
    </row>
    <row r="255" spans="9:9" ht="15" customHeight="1" x14ac:dyDescent="0.3">
      <c r="I255" s="611"/>
    </row>
    <row r="256" spans="9:9" ht="15" customHeight="1" x14ac:dyDescent="0.3">
      <c r="I256" s="611"/>
    </row>
    <row r="257" spans="9:9" ht="15" customHeight="1" x14ac:dyDescent="0.3">
      <c r="I257" s="611"/>
    </row>
    <row r="258" spans="9:9" ht="15" customHeight="1" x14ac:dyDescent="0.3">
      <c r="I258" s="611"/>
    </row>
    <row r="259" spans="9:9" ht="15" customHeight="1" x14ac:dyDescent="0.3">
      <c r="I259" s="611"/>
    </row>
    <row r="260" spans="9:9" ht="15" customHeight="1" x14ac:dyDescent="0.3">
      <c r="I260" s="611"/>
    </row>
    <row r="261" spans="9:9" ht="15" customHeight="1" x14ac:dyDescent="0.3">
      <c r="I261" s="611"/>
    </row>
    <row r="262" spans="9:9" ht="15" customHeight="1" x14ac:dyDescent="0.3">
      <c r="I262" s="611"/>
    </row>
    <row r="263" spans="9:9" ht="15" customHeight="1" x14ac:dyDescent="0.3">
      <c r="I263" s="611"/>
    </row>
    <row r="264" spans="9:9" ht="15" customHeight="1" x14ac:dyDescent="0.3">
      <c r="I264" s="611"/>
    </row>
    <row r="265" spans="9:9" ht="15" customHeight="1" x14ac:dyDescent="0.3">
      <c r="I265" s="611"/>
    </row>
    <row r="266" spans="9:9" ht="15" customHeight="1" x14ac:dyDescent="0.3">
      <c r="I266" s="611"/>
    </row>
    <row r="267" spans="9:9" ht="15" customHeight="1" x14ac:dyDescent="0.3">
      <c r="I267" s="611"/>
    </row>
    <row r="268" spans="9:9" ht="15" customHeight="1" x14ac:dyDescent="0.3">
      <c r="I268" s="611"/>
    </row>
    <row r="269" spans="9:9" ht="15" customHeight="1" x14ac:dyDescent="0.3">
      <c r="I269" s="611"/>
    </row>
    <row r="270" spans="9:9" x14ac:dyDescent="0.3">
      <c r="I270" s="611"/>
    </row>
    <row r="271" spans="9:9" x14ac:dyDescent="0.3">
      <c r="I271" s="611"/>
    </row>
    <row r="272" spans="9:9" x14ac:dyDescent="0.3">
      <c r="I272" s="611"/>
    </row>
    <row r="273" spans="9:9" x14ac:dyDescent="0.3">
      <c r="I273" s="611"/>
    </row>
    <row r="274" spans="9:9" x14ac:dyDescent="0.3">
      <c r="I274" s="611"/>
    </row>
    <row r="275" spans="9:9" x14ac:dyDescent="0.3">
      <c r="I275" s="611"/>
    </row>
    <row r="276" spans="9:9" x14ac:dyDescent="0.3">
      <c r="I276" s="611"/>
    </row>
    <row r="277" spans="9:9" x14ac:dyDescent="0.3">
      <c r="I277" s="611"/>
    </row>
    <row r="278" spans="9:9" x14ac:dyDescent="0.3">
      <c r="I278" s="611"/>
    </row>
    <row r="279" spans="9:9" x14ac:dyDescent="0.3">
      <c r="I279" s="611"/>
    </row>
    <row r="280" spans="9:9" x14ac:dyDescent="0.3">
      <c r="I280" s="611"/>
    </row>
    <row r="281" spans="9:9" x14ac:dyDescent="0.3">
      <c r="I281" s="611"/>
    </row>
    <row r="282" spans="9:9" x14ac:dyDescent="0.3">
      <c r="I282" s="611"/>
    </row>
    <row r="283" spans="9:9" x14ac:dyDescent="0.3">
      <c r="I283" s="611"/>
    </row>
    <row r="284" spans="9:9" x14ac:dyDescent="0.3">
      <c r="I284" s="611"/>
    </row>
  </sheetData>
  <pageMargins left="0.7" right="0.7" top="0.78740157499999996" bottom="0.78740157499999996" header="0.3" footer="0.3"/>
  <pageSetup paperSize="9" orientation="portrait" r:id="rId1"/>
  <ignoredErrors>
    <ignoredError sqref="F12"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35AC-B4D2-4C62-A0F6-EAD2BA146C19}">
  <sheetPr>
    <tabColor rgb="FF00B050"/>
  </sheetPr>
  <dimension ref="A1:V427"/>
  <sheetViews>
    <sheetView workbookViewId="0"/>
  </sheetViews>
  <sheetFormatPr baseColWidth="10" defaultColWidth="11.44140625" defaultRowHeight="13.9" x14ac:dyDescent="0.25"/>
  <cols>
    <col min="1" max="1" width="10.33203125" style="1" customWidth="1"/>
    <col min="2" max="2" width="6.88671875" style="1" bestFit="1" customWidth="1"/>
    <col min="3" max="3" width="19.88671875" style="1" customWidth="1"/>
    <col min="4" max="5" width="15.6640625" style="1" customWidth="1"/>
    <col min="6" max="6" width="9.5546875" style="1" bestFit="1" customWidth="1"/>
    <col min="7" max="7" width="17" style="1" customWidth="1"/>
    <col min="8" max="8" width="15.6640625" style="1" customWidth="1"/>
    <col min="9" max="9" width="11.44140625" style="1" customWidth="1"/>
    <col min="10" max="11" width="15.6640625" style="1" customWidth="1"/>
    <col min="12" max="12" width="10.5546875" style="1" bestFit="1" customWidth="1"/>
    <col min="13" max="14" width="15.6640625" style="1" customWidth="1"/>
    <col min="15" max="15" width="10.5546875" style="1" bestFit="1" customWidth="1"/>
    <col min="16" max="17" width="15.6640625" style="1" customWidth="1"/>
    <col min="18" max="19" width="11.44140625" style="1"/>
    <col min="20" max="20" width="49" style="1" bestFit="1" customWidth="1"/>
    <col min="21" max="21" width="27.44140625" style="1" bestFit="1" customWidth="1"/>
    <col min="22" max="22" width="98.88671875" style="1" customWidth="1"/>
    <col min="23" max="16384" width="11.44140625" style="1"/>
  </cols>
  <sheetData>
    <row r="1" spans="2:22" x14ac:dyDescent="0.25">
      <c r="B1" s="1669"/>
      <c r="C1" s="1670"/>
      <c r="E1" s="1669"/>
      <c r="F1" s="1670"/>
      <c r="H1" s="70"/>
      <c r="I1" s="70"/>
      <c r="K1" s="70"/>
      <c r="L1" s="70"/>
      <c r="N1" s="70"/>
      <c r="O1" s="70"/>
    </row>
    <row r="2" spans="2:22" ht="15" customHeight="1" x14ac:dyDescent="0.25">
      <c r="B2" s="1671"/>
      <c r="C2" s="1672"/>
      <c r="E2" s="1671"/>
      <c r="F2" s="1672"/>
      <c r="H2" s="70"/>
      <c r="I2" s="70"/>
      <c r="K2" s="70"/>
      <c r="L2" s="70"/>
      <c r="N2" s="70"/>
      <c r="O2" s="70"/>
    </row>
    <row r="3" spans="2:22" ht="15" customHeight="1" x14ac:dyDescent="0.25">
      <c r="B3" s="1671"/>
      <c r="C3" s="1672"/>
      <c r="E3" s="1671"/>
      <c r="F3" s="1672"/>
      <c r="H3" s="70"/>
      <c r="I3" s="70"/>
      <c r="K3" s="70"/>
      <c r="L3" s="70"/>
      <c r="M3" s="70"/>
      <c r="N3" s="70"/>
      <c r="O3" s="70"/>
    </row>
    <row r="4" spans="2:22" ht="15" customHeight="1" x14ac:dyDescent="0.25">
      <c r="B4" s="1671"/>
      <c r="C4" s="1672"/>
      <c r="E4" s="1671"/>
      <c r="F4" s="1672"/>
      <c r="H4" s="70"/>
      <c r="I4" s="70"/>
      <c r="K4" s="70"/>
      <c r="L4" s="70"/>
      <c r="M4" s="70"/>
      <c r="N4" s="70"/>
      <c r="O4" s="70"/>
    </row>
    <row r="5" spans="2:22" ht="15.95" customHeight="1" x14ac:dyDescent="0.25">
      <c r="B5" s="1671"/>
      <c r="C5" s="1672"/>
      <c r="E5" s="1671"/>
      <c r="F5" s="1672"/>
      <c r="H5" s="70"/>
      <c r="I5" s="70"/>
      <c r="K5" s="70"/>
      <c r="L5" s="70"/>
      <c r="M5" s="48"/>
      <c r="N5" s="70"/>
      <c r="O5" s="70"/>
      <c r="T5" s="2"/>
      <c r="U5" s="2"/>
      <c r="V5" s="2"/>
    </row>
    <row r="6" spans="2:22" ht="14.55" x14ac:dyDescent="0.3">
      <c r="B6" s="1675"/>
      <c r="C6" s="1676"/>
      <c r="E6" s="1675"/>
      <c r="F6" s="1676"/>
      <c r="H6" s="48"/>
      <c r="I6" s="48"/>
      <c r="K6" s="48"/>
      <c r="L6" s="48"/>
      <c r="M6" s="48"/>
      <c r="N6" s="48"/>
      <c r="O6" s="48"/>
      <c r="T6"/>
      <c r="U6"/>
      <c r="V6"/>
    </row>
    <row r="7" spans="2:22" ht="14.55" x14ac:dyDescent="0.3">
      <c r="B7" s="1658">
        <f>IF('Auftragsänderungen &amp; -ergänzung'!J8="ja",'Auftragsänderungen &amp; -ergänzung'!I8,0)</f>
        <v>0</v>
      </c>
      <c r="C7" s="1659"/>
      <c r="E7" s="205">
        <f>IF('Auftragsänderungen &amp; -ergänzung'!J44="ja",'Auftragsänderungen &amp; -ergänzung'!I44,0)</f>
        <v>0</v>
      </c>
      <c r="F7" s="204"/>
      <c r="H7" s="210"/>
      <c r="I7" s="210"/>
      <c r="J7" s="170"/>
      <c r="K7" s="210"/>
      <c r="L7" s="210"/>
      <c r="M7" s="171"/>
      <c r="N7" s="210"/>
      <c r="O7" s="210"/>
      <c r="T7" s="4"/>
      <c r="U7" s="3"/>
      <c r="V7" s="5"/>
    </row>
    <row r="8" spans="2:22" ht="14.55" x14ac:dyDescent="0.3">
      <c r="B8" s="1658">
        <f>IF('Auftragsänderungen &amp; -ergänzung'!J10="ja",'Auftragsänderungen &amp; -ergänzung'!I10,0)</f>
        <v>0</v>
      </c>
      <c r="C8" s="1659"/>
      <c r="E8" s="205">
        <f>IF('Auftragsänderungen &amp; -ergänzung'!J46="ja",'Auftragsänderungen &amp; -ergänzung'!I46,0)</f>
        <v>0</v>
      </c>
      <c r="F8" s="204"/>
      <c r="H8" s="210"/>
      <c r="I8" s="210"/>
      <c r="J8" s="170"/>
      <c r="K8" s="210"/>
      <c r="L8" s="210"/>
      <c r="M8" s="171"/>
      <c r="N8" s="210"/>
      <c r="O8" s="210"/>
      <c r="T8" s="4"/>
      <c r="U8" s="3"/>
      <c r="V8" s="5"/>
    </row>
    <row r="9" spans="2:22" ht="14.55" x14ac:dyDescent="0.3">
      <c r="B9" s="1658">
        <f>IF('Auftragsänderungen &amp; -ergänzung'!J12="ja",'Auftragsänderungen &amp; -ergänzung'!I12,0)</f>
        <v>0</v>
      </c>
      <c r="C9" s="1659"/>
      <c r="E9" s="205">
        <f>IF('Auftragsänderungen &amp; -ergänzung'!J48="ja",'Auftragsänderungen &amp; -ergänzung'!I48,0)</f>
        <v>0</v>
      </c>
      <c r="F9" s="204"/>
      <c r="H9" s="210"/>
      <c r="I9" s="210"/>
      <c r="J9" s="170"/>
      <c r="K9" s="210"/>
      <c r="L9" s="210"/>
      <c r="M9" s="171"/>
      <c r="N9" s="210"/>
      <c r="O9" s="210"/>
      <c r="T9" s="4"/>
      <c r="U9" s="3"/>
      <c r="V9" s="5"/>
    </row>
    <row r="10" spans="2:22" ht="14.55" x14ac:dyDescent="0.3">
      <c r="B10" s="1658">
        <f>IF('Auftragsänderungen &amp; -ergänzung'!J14="ja",'Auftragsänderungen &amp; -ergänzung'!I14,0)</f>
        <v>0</v>
      </c>
      <c r="C10" s="1659"/>
      <c r="E10" s="205">
        <f>IF('Auftragsänderungen &amp; -ergänzung'!J50="ja",'Auftragsänderungen &amp; -ergänzung'!I50,0)</f>
        <v>0</v>
      </c>
      <c r="F10" s="204"/>
      <c r="H10" s="210"/>
      <c r="I10" s="210"/>
      <c r="J10" s="170"/>
      <c r="K10" s="210"/>
      <c r="L10" s="210"/>
      <c r="M10" s="171"/>
      <c r="N10" s="210"/>
      <c r="O10" s="210"/>
      <c r="T10" s="4"/>
      <c r="U10" s="3"/>
      <c r="V10" s="5"/>
    </row>
    <row r="11" spans="2:22" ht="14.55" x14ac:dyDescent="0.3">
      <c r="B11" s="1658">
        <f>IF('Auftragsänderungen &amp; -ergänzung'!J16="ja",'Auftragsänderungen &amp; -ergänzung'!I16,0)</f>
        <v>0</v>
      </c>
      <c r="C11" s="1659"/>
      <c r="E11" s="205">
        <f>IF('Auftragsänderungen &amp; -ergänzung'!J52="ja",'Auftragsänderungen &amp; -ergänzung'!I52,0)</f>
        <v>0</v>
      </c>
      <c r="F11" s="204"/>
      <c r="L11" s="48"/>
      <c r="M11" s="48"/>
      <c r="T11" s="4"/>
      <c r="U11" s="3"/>
      <c r="V11" s="5"/>
    </row>
    <row r="12" spans="2:22" ht="14.55" x14ac:dyDescent="0.3">
      <c r="B12" s="1658">
        <f>IF('Auftragsänderungen &amp; -ergänzung'!J18="ja",'Auftragsänderungen &amp; -ergänzung'!I18,0)</f>
        <v>0</v>
      </c>
      <c r="C12" s="1659"/>
      <c r="E12" s="205">
        <f>IF('Auftragsänderungen &amp; -ergänzung'!J54="ja",'Auftragsänderungen &amp; -ergänzung'!I54,0)</f>
        <v>0</v>
      </c>
      <c r="F12" s="204"/>
      <c r="L12" s="48"/>
      <c r="M12" s="48"/>
      <c r="T12" s="4"/>
      <c r="U12" s="3"/>
      <c r="V12" s="5"/>
    </row>
    <row r="13" spans="2:22" ht="14.55" x14ac:dyDescent="0.3">
      <c r="B13" s="1658">
        <f>IF('Auftragsänderungen &amp; -ergänzung'!J20="ja",'Auftragsänderungen &amp; -ergänzung'!I20,0)</f>
        <v>0</v>
      </c>
      <c r="C13" s="1659"/>
      <c r="E13" s="205">
        <f>IF('Auftragsänderungen &amp; -ergänzung'!J56="ja",'Auftragsänderungen &amp; -ergänzung'!I56,0)</f>
        <v>0</v>
      </c>
      <c r="F13" s="204"/>
      <c r="L13" s="48"/>
      <c r="M13" s="48"/>
      <c r="T13" s="4"/>
      <c r="U13" s="3"/>
      <c r="V13" s="5"/>
    </row>
    <row r="14" spans="2:22" ht="14.55" x14ac:dyDescent="0.3">
      <c r="B14" s="1658">
        <f>IF('Auftragsänderungen &amp; -ergänzung'!J22="ja",'Auftragsänderungen &amp; -ergänzung'!I22,0)</f>
        <v>0</v>
      </c>
      <c r="C14" s="1659"/>
      <c r="E14" s="205">
        <f>IF('Auftragsänderungen &amp; -ergänzung'!J58="ja",'Auftragsänderungen &amp; -ergänzung'!I58,0)</f>
        <v>0</v>
      </c>
      <c r="F14" s="204"/>
      <c r="L14" s="48"/>
      <c r="M14" s="48"/>
      <c r="T14" s="4"/>
      <c r="U14" s="3"/>
      <c r="V14" s="5"/>
    </row>
    <row r="15" spans="2:22" ht="14.55" x14ac:dyDescent="0.3">
      <c r="B15" s="1658">
        <f>IF('Auftragsänderungen &amp; -ergänzung'!J24="ja",'Auftragsänderungen &amp; -ergänzung'!I24,0)</f>
        <v>0</v>
      </c>
      <c r="C15" s="1659"/>
      <c r="E15" s="205">
        <f>IF('Auftragsänderungen &amp; -ergänzung'!J60="ja",'Auftragsänderungen &amp; -ergänzung'!I60,0)</f>
        <v>0</v>
      </c>
      <c r="F15" s="204"/>
      <c r="L15" s="48"/>
      <c r="M15" s="48"/>
      <c r="T15" s="4"/>
      <c r="U15" s="3"/>
      <c r="V15" s="5"/>
    </row>
    <row r="16" spans="2:22" ht="14.55" x14ac:dyDescent="0.3">
      <c r="B16" s="1658">
        <f>IF('Auftragsänderungen &amp; -ergänzung'!J26="ja",'Auftragsänderungen &amp; -ergänzung'!I26,0)</f>
        <v>0</v>
      </c>
      <c r="C16" s="1659"/>
      <c r="E16" s="205">
        <f>IF('Auftragsänderungen &amp; -ergänzung'!J62="ja",'Auftragsänderungen &amp; -ergänzung'!I62,0)</f>
        <v>0</v>
      </c>
      <c r="F16" s="204"/>
      <c r="L16" s="48"/>
      <c r="M16" s="48"/>
      <c r="T16" s="4"/>
      <c r="U16" s="3"/>
      <c r="V16" s="5"/>
    </row>
    <row r="17" spans="1:22" ht="14.55" x14ac:dyDescent="0.3">
      <c r="B17" s="1658">
        <f>IF('Auftragsänderungen &amp; -ergänzung'!J28="ja",'Auftragsänderungen &amp; -ergänzung'!I28,0)</f>
        <v>0</v>
      </c>
      <c r="C17" s="1659"/>
      <c r="E17" s="205">
        <f>IF('Auftragsänderungen &amp; -ergänzung'!J64="ja",'Auftragsänderungen &amp; -ergänzung'!I64,0)</f>
        <v>0</v>
      </c>
      <c r="F17" s="204"/>
      <c r="L17" s="48"/>
      <c r="M17" s="48"/>
      <c r="T17" s="4"/>
      <c r="U17" s="3"/>
      <c r="V17" s="5"/>
    </row>
    <row r="18" spans="1:22" ht="14.55" x14ac:dyDescent="0.3">
      <c r="B18" s="1658">
        <f>IF('Auftragsänderungen &amp; -ergänzung'!J30="ja",'Auftragsänderungen &amp; -ergänzung'!I30,0)</f>
        <v>0</v>
      </c>
      <c r="C18" s="1659"/>
      <c r="E18" s="205">
        <f>IF('Auftragsänderungen &amp; -ergänzung'!J66="ja",'Auftragsänderungen &amp; -ergänzung'!I66,0)</f>
        <v>0</v>
      </c>
      <c r="F18" s="204"/>
      <c r="L18" s="48"/>
      <c r="M18" s="48"/>
      <c r="T18" s="4"/>
      <c r="U18" s="3"/>
      <c r="V18" s="5"/>
    </row>
    <row r="19" spans="1:22" ht="14.55" x14ac:dyDescent="0.3">
      <c r="B19" s="1658">
        <f>IF('Auftragsänderungen &amp; -ergänzung'!J32="ja",'Auftragsänderungen &amp; -ergänzung'!I32,0)</f>
        <v>0</v>
      </c>
      <c r="C19" s="1659"/>
      <c r="D19" s="145"/>
      <c r="E19" s="205">
        <f>IF('Auftragsänderungen &amp; -ergänzung'!J68="ja",'Auftragsänderungen &amp; -ergänzung'!I68,0)</f>
        <v>0</v>
      </c>
      <c r="F19" s="204"/>
      <c r="G19" s="144"/>
      <c r="H19" s="49"/>
      <c r="I19" s="49"/>
      <c r="J19" s="49"/>
      <c r="K19" s="49"/>
      <c r="L19" s="49"/>
      <c r="M19" s="49"/>
      <c r="T19" s="4"/>
      <c r="U19" s="3"/>
      <c r="V19" s="5"/>
    </row>
    <row r="20" spans="1:22" ht="14.55" x14ac:dyDescent="0.3">
      <c r="B20" s="1658">
        <f>IF('Auftragsänderungen &amp; -ergänzung'!J34="ja",'Auftragsänderungen &amp; -ergänzung'!I34,0)</f>
        <v>0</v>
      </c>
      <c r="C20" s="1659"/>
      <c r="D20" s="145"/>
      <c r="E20" s="205">
        <f>IF('Auftragsänderungen &amp; -ergänzung'!J70="ja",'Auftragsänderungen &amp; -ergänzung'!I70,0)</f>
        <v>0</v>
      </c>
      <c r="F20" s="204"/>
      <c r="G20" s="144"/>
      <c r="H20" s="49"/>
      <c r="I20" s="49"/>
      <c r="J20" s="49"/>
      <c r="K20" s="49"/>
      <c r="L20" s="49"/>
      <c r="M20" s="49"/>
      <c r="T20" s="4"/>
      <c r="U20" s="3"/>
      <c r="V20" s="5"/>
    </row>
    <row r="21" spans="1:22" ht="14.55" x14ac:dyDescent="0.3">
      <c r="B21" s="1658">
        <f>IF('Auftragsänderungen &amp; -ergänzung'!J36="ja",'Auftragsänderungen &amp; -ergänzung'!I36,0)</f>
        <v>0</v>
      </c>
      <c r="C21" s="1659"/>
      <c r="D21" s="145"/>
      <c r="E21" s="205">
        <f>IF('Auftragsänderungen &amp; -ergänzung'!J72="ja",'Auftragsänderungen &amp; -ergänzung'!I72,0)</f>
        <v>0</v>
      </c>
      <c r="F21" s="204"/>
      <c r="G21" s="144"/>
      <c r="H21" s="49"/>
      <c r="I21" s="49"/>
      <c r="J21" s="49"/>
      <c r="K21" s="49"/>
      <c r="L21" s="49"/>
      <c r="M21" s="49"/>
      <c r="T21" s="4"/>
      <c r="U21" s="3"/>
      <c r="V21" s="5"/>
    </row>
    <row r="22" spans="1:22" ht="15.2" thickBot="1" x14ac:dyDescent="0.35">
      <c r="B22" s="1658">
        <f>IF('Auftragsänderungen &amp; -ergänzung'!J38="ja",'Auftragsänderungen &amp; -ergänzung'!I38,0)</f>
        <v>0</v>
      </c>
      <c r="C22" s="1659"/>
      <c r="E22" s="206">
        <f>IF('Auftragsänderungen &amp; -ergänzung'!J74="ja",'Auftragsänderungen &amp; -ergänzung'!I74,0)</f>
        <v>0</v>
      </c>
      <c r="F22" s="207"/>
      <c r="K22" s="48"/>
      <c r="T22" s="4"/>
      <c r="U22" s="3"/>
      <c r="V22" s="5"/>
    </row>
    <row r="23" spans="1:22" ht="14.55" x14ac:dyDescent="0.3">
      <c r="B23" s="1658">
        <f>IF('Auftragsänderungen &amp; -ergänzung'!J40="ja",'Auftragsänderungen &amp; -ergänzung'!I40,0)</f>
        <v>0</v>
      </c>
      <c r="C23" s="1659"/>
      <c r="E23" s="172"/>
      <c r="F23" s="172"/>
      <c r="K23" s="48"/>
      <c r="T23" s="4"/>
      <c r="U23" s="3"/>
      <c r="V23" s="5"/>
    </row>
    <row r="24" spans="1:22" ht="15.2" thickBot="1" x14ac:dyDescent="0.35">
      <c r="B24" s="1658">
        <f>IF('Auftragsänderungen &amp; -ergänzung'!J42="ja",'Auftragsänderungen &amp; -ergänzung'!I42,0)</f>
        <v>0</v>
      </c>
      <c r="C24" s="1659"/>
      <c r="E24" s="173"/>
      <c r="F24" s="174"/>
      <c r="K24" s="48"/>
      <c r="T24" s="4"/>
      <c r="U24" s="3"/>
      <c r="V24" s="5"/>
    </row>
    <row r="25" spans="1:22" ht="15.2" thickBot="1" x14ac:dyDescent="0.35">
      <c r="A25" s="1" t="s">
        <v>639</v>
      </c>
      <c r="B25" s="1701">
        <f>SUM(B7:C24)</f>
        <v>0</v>
      </c>
      <c r="C25" s="1702"/>
      <c r="E25" s="1648">
        <f>SUM(E7:F23)</f>
        <v>0</v>
      </c>
      <c r="F25" s="1649"/>
      <c r="H25" s="211">
        <f>SUM(B25:F25)</f>
        <v>0</v>
      </c>
      <c r="I25" s="211"/>
      <c r="K25" s="211"/>
      <c r="L25" s="211"/>
      <c r="N25" s="211"/>
      <c r="O25" s="211"/>
      <c r="Q25" s="48"/>
      <c r="T25" s="4"/>
      <c r="U25" s="3"/>
      <c r="V25" s="5"/>
    </row>
    <row r="26" spans="1:22" ht="14.55" x14ac:dyDescent="0.3">
      <c r="T26" s="4"/>
      <c r="U26" s="3"/>
      <c r="V26" s="5"/>
    </row>
    <row r="27" spans="1:22" ht="14.55" x14ac:dyDescent="0.3">
      <c r="B27" s="1699"/>
      <c r="C27" s="1699"/>
      <c r="D27" s="1699"/>
      <c r="E27" s="1699"/>
      <c r="F27" s="1699"/>
      <c r="G27" s="1699"/>
      <c r="H27" s="1699"/>
      <c r="I27" s="1699"/>
      <c r="J27" s="1699"/>
      <c r="T27" s="4"/>
      <c r="U27" s="3"/>
      <c r="V27" s="5"/>
    </row>
    <row r="28" spans="1:22" ht="15.2" thickBot="1" x14ac:dyDescent="0.35">
      <c r="T28" s="4"/>
      <c r="U28" s="3"/>
      <c r="V28" s="5"/>
    </row>
    <row r="29" spans="1:22" ht="15.2" thickBot="1" x14ac:dyDescent="0.35">
      <c r="B29" s="100" t="s">
        <v>115</v>
      </c>
      <c r="C29" s="271">
        <v>1</v>
      </c>
      <c r="D29" s="272">
        <v>2</v>
      </c>
      <c r="E29" s="272">
        <v>3</v>
      </c>
      <c r="F29" s="272">
        <v>4</v>
      </c>
      <c r="G29" s="272">
        <v>5</v>
      </c>
      <c r="H29" s="272">
        <v>6</v>
      </c>
      <c r="I29" s="272">
        <v>7</v>
      </c>
      <c r="J29" s="272">
        <v>8</v>
      </c>
      <c r="K29" s="289">
        <v>9</v>
      </c>
      <c r="L29" s="146"/>
      <c r="M29" s="146"/>
      <c r="N29" s="146"/>
      <c r="O29" s="146"/>
      <c r="P29" s="146"/>
      <c r="Q29" s="146"/>
      <c r="T29" s="4"/>
      <c r="U29" s="3"/>
      <c r="V29" s="5"/>
    </row>
    <row r="30" spans="1:22" ht="14.55" x14ac:dyDescent="0.3">
      <c r="B30" s="276"/>
      <c r="C30" s="151">
        <f>IF($C$29='Auftragsänderungen &amp; -ergänzung'!K8,'Auftragsänderungen &amp; -ergänzung'!I8,0)</f>
        <v>0</v>
      </c>
      <c r="D30" s="152">
        <f>IF($D$29='Auftragsänderungen &amp; -ergänzung'!K8,'Auftragsänderungen &amp; -ergänzung'!I8,0)</f>
        <v>0</v>
      </c>
      <c r="E30" s="152">
        <f>IF($E$29='Auftragsänderungen &amp; -ergänzung'!K8,'Auftragsänderungen &amp; -ergänzung'!I8,0)</f>
        <v>0</v>
      </c>
      <c r="F30" s="152">
        <f>IF($F$29='Auftragsänderungen &amp; -ergänzung'!K8,'Auftragsänderungen &amp; -ergänzung'!I8,0)</f>
        <v>0</v>
      </c>
      <c r="G30" s="152">
        <f>IF($G$29='Auftragsänderungen &amp; -ergänzung'!K8,'Auftragsänderungen &amp; -ergänzung'!I8,0)</f>
        <v>0</v>
      </c>
      <c r="H30" s="152">
        <f>IF($H$29='Auftragsänderungen &amp; -ergänzung'!K8,'Auftragsänderungen &amp; -ergänzung'!I8,0)</f>
        <v>0</v>
      </c>
      <c r="I30" s="152">
        <f>IF($I$29='Auftragsänderungen &amp; -ergänzung'!K8,'Auftragsänderungen &amp; -ergänzung'!I8,0)</f>
        <v>0</v>
      </c>
      <c r="J30" s="153">
        <f>IF(J29='Auftragsänderungen &amp; -ergänzung'!$K$8,'Auftragsänderungen &amp; -ergänzung'!$I$8,0)</f>
        <v>0</v>
      </c>
      <c r="K30" s="153">
        <f>IF(K29='Auftragsänderungen &amp; -ergänzung'!$K$8,'Auftragsänderungen &amp; -ergänzung'!$I$8,0)</f>
        <v>0</v>
      </c>
      <c r="L30" s="48"/>
      <c r="M30" s="48"/>
      <c r="N30" s="48"/>
      <c r="O30" s="48"/>
      <c r="P30" s="48"/>
      <c r="Q30" s="49"/>
      <c r="T30" s="4"/>
      <c r="U30" s="3"/>
      <c r="V30" s="5"/>
    </row>
    <row r="31" spans="1:22" ht="14.55" x14ac:dyDescent="0.3">
      <c r="B31" s="277"/>
      <c r="C31" s="154">
        <f>IF($C$29='Auftragsänderungen &amp; -ergänzung'!K10,'Auftragsänderungen &amp; -ergänzung'!I10,0)</f>
        <v>0</v>
      </c>
      <c r="D31" s="155">
        <f>IF($D$29='Auftragsänderungen &amp; -ergänzung'!K10,'Auftragsänderungen &amp; -ergänzung'!I10,0)</f>
        <v>0</v>
      </c>
      <c r="E31" s="155">
        <f>IF($E$29='Auftragsänderungen &amp; -ergänzung'!K10,'Auftragsänderungen &amp; -ergänzung'!I10,0)</f>
        <v>0</v>
      </c>
      <c r="F31" s="155">
        <f>IF($F$29='Auftragsänderungen &amp; -ergänzung'!K10,'Auftragsänderungen &amp; -ergänzung'!I10,0)</f>
        <v>0</v>
      </c>
      <c r="G31" s="155">
        <f>IF($G$29='Auftragsänderungen &amp; -ergänzung'!K10,'Auftragsänderungen &amp; -ergänzung'!I10,0)</f>
        <v>0</v>
      </c>
      <c r="H31" s="155">
        <f>IF($H$29='Auftragsänderungen &amp; -ergänzung'!K10,'Auftragsänderungen &amp; -ergänzung'!I10,0)</f>
        <v>0</v>
      </c>
      <c r="I31" s="155">
        <f>IF($I$29='Auftragsänderungen &amp; -ergänzung'!K10,'Auftragsänderungen &amp; -ergänzung'!I10,0)</f>
        <v>0</v>
      </c>
      <c r="J31" s="156">
        <f>IF(J29='Auftragsänderungen &amp; -ergänzung'!$K$10,'Auftragsänderungen &amp; -ergänzung'!$I$10,0)</f>
        <v>0</v>
      </c>
      <c r="K31" s="156">
        <f>IF(K29='Auftragsänderungen &amp; -ergänzung'!$K$10,'Auftragsänderungen &amp; -ergänzung'!$I$10,0)</f>
        <v>0</v>
      </c>
      <c r="L31" s="48"/>
      <c r="M31" s="48"/>
      <c r="N31" s="48"/>
      <c r="O31" s="48"/>
      <c r="P31" s="48"/>
      <c r="Q31" s="49"/>
      <c r="T31" s="4"/>
      <c r="U31" s="3"/>
      <c r="V31" s="5"/>
    </row>
    <row r="32" spans="1:22" ht="14.55" x14ac:dyDescent="0.3">
      <c r="B32" s="277"/>
      <c r="C32" s="154">
        <f>IF($C$29='Auftragsänderungen &amp; -ergänzung'!K12,'Auftragsänderungen &amp; -ergänzung'!I12,0)</f>
        <v>0</v>
      </c>
      <c r="D32" s="155">
        <f>IF($D$29='Auftragsänderungen &amp; -ergänzung'!K12,'Auftragsänderungen &amp; -ergänzung'!I12,0)</f>
        <v>0</v>
      </c>
      <c r="E32" s="155">
        <f>IF($E$29='Auftragsänderungen &amp; -ergänzung'!K12,'Auftragsänderungen &amp; -ergänzung'!I12,0)</f>
        <v>0</v>
      </c>
      <c r="F32" s="155">
        <f>IF($F$29='Auftragsänderungen &amp; -ergänzung'!K12,'Auftragsänderungen &amp; -ergänzung'!I12,0)</f>
        <v>0</v>
      </c>
      <c r="G32" s="155">
        <f>IF($G$29='Auftragsänderungen &amp; -ergänzung'!K12,'Auftragsänderungen &amp; -ergänzung'!I12,0)</f>
        <v>0</v>
      </c>
      <c r="H32" s="155">
        <f>IF($H$29='Auftragsänderungen &amp; -ergänzung'!K12,'Auftragsänderungen &amp; -ergänzung'!I12,0)</f>
        <v>0</v>
      </c>
      <c r="I32" s="155">
        <f>IF($I$29='Auftragsänderungen &amp; -ergänzung'!K12,'Auftragsänderungen &amp; -ergänzung'!I12,0)</f>
        <v>0</v>
      </c>
      <c r="J32" s="156">
        <f>IF(J29='Auftragsänderungen &amp; -ergänzung'!$K$12,'Auftragsänderungen &amp; -ergänzung'!$I$12,0)</f>
        <v>0</v>
      </c>
      <c r="K32" s="156">
        <f>IF(K29='Auftragsänderungen &amp; -ergänzung'!$K$12,'Auftragsänderungen &amp; -ergänzung'!$I$12,0)</f>
        <v>0</v>
      </c>
      <c r="L32" s="48"/>
      <c r="M32" s="48"/>
      <c r="N32" s="48"/>
      <c r="O32" s="48"/>
      <c r="P32" s="48"/>
      <c r="Q32" s="49"/>
      <c r="T32" s="4"/>
      <c r="U32" s="3"/>
      <c r="V32" s="5"/>
    </row>
    <row r="33" spans="2:22" ht="14.55" x14ac:dyDescent="0.3">
      <c r="B33" s="277"/>
      <c r="C33" s="154">
        <f>IF($C$29='Auftragsänderungen &amp; -ergänzung'!K14,'Auftragsänderungen &amp; -ergänzung'!I14,0)</f>
        <v>0</v>
      </c>
      <c r="D33" s="155">
        <f>IF($D$29='Auftragsänderungen &amp; -ergänzung'!K14,'Auftragsänderungen &amp; -ergänzung'!I14,0)</f>
        <v>0</v>
      </c>
      <c r="E33" s="155">
        <f>IF($E$29='Auftragsänderungen &amp; -ergänzung'!K14,'Auftragsänderungen &amp; -ergänzung'!I14,0)</f>
        <v>0</v>
      </c>
      <c r="F33" s="155">
        <f>IF($F$29='Auftragsänderungen &amp; -ergänzung'!K14,'Auftragsänderungen &amp; -ergänzung'!I14,0)</f>
        <v>0</v>
      </c>
      <c r="G33" s="155">
        <f>IF($G$29='Auftragsänderungen &amp; -ergänzung'!K14,'Auftragsänderungen &amp; -ergänzung'!I14,0)</f>
        <v>0</v>
      </c>
      <c r="H33" s="155">
        <f>IF($H$29='Auftragsänderungen &amp; -ergänzung'!K14,'Auftragsänderungen &amp; -ergänzung'!I14,0)</f>
        <v>0</v>
      </c>
      <c r="I33" s="155">
        <f>IF($I$29='Auftragsänderungen &amp; -ergänzung'!K14,'Auftragsänderungen &amp; -ergänzung'!I14,0)</f>
        <v>0</v>
      </c>
      <c r="J33" s="156">
        <f>IF(J29='Auftragsänderungen &amp; -ergänzung'!$K$14,'Auftragsänderungen &amp; -ergänzung'!$I$14,0)</f>
        <v>0</v>
      </c>
      <c r="K33" s="156">
        <f>IF(K29='Auftragsänderungen &amp; -ergänzung'!$K$14,'Auftragsänderungen &amp; -ergänzung'!$I$14,0)</f>
        <v>0</v>
      </c>
      <c r="L33" s="48"/>
      <c r="M33" s="48"/>
      <c r="N33" s="48"/>
      <c r="O33" s="48"/>
      <c r="P33" s="48"/>
      <c r="Q33" s="49"/>
      <c r="T33" s="4"/>
      <c r="U33" s="3"/>
      <c r="V33" s="5"/>
    </row>
    <row r="34" spans="2:22" ht="14.55" x14ac:dyDescent="0.3">
      <c r="B34" s="278"/>
      <c r="C34" s="154">
        <f>IF($C$29='Auftragsänderungen &amp; -ergänzung'!K16,'Auftragsänderungen &amp; -ergänzung'!I16,0)</f>
        <v>0</v>
      </c>
      <c r="D34" s="155">
        <f>IF($D$29='Auftragsänderungen &amp; -ergänzung'!K16,'Auftragsänderungen &amp; -ergänzung'!I16,0)</f>
        <v>0</v>
      </c>
      <c r="E34" s="155">
        <f>IF($E$29='Auftragsänderungen &amp; -ergänzung'!K16,'Auftragsänderungen &amp; -ergänzung'!I16,0)</f>
        <v>0</v>
      </c>
      <c r="F34" s="155">
        <f>IF($F$29='Auftragsänderungen &amp; -ergänzung'!K16,'Auftragsänderungen &amp; -ergänzung'!I16,0)</f>
        <v>0</v>
      </c>
      <c r="G34" s="155">
        <f>IF($G$29='Auftragsänderungen &amp; -ergänzung'!K16,'Auftragsänderungen &amp; -ergänzung'!I16,0)</f>
        <v>0</v>
      </c>
      <c r="H34" s="155">
        <f>IF($H$29='Auftragsänderungen &amp; -ergänzung'!K16,'Auftragsänderungen &amp; -ergänzung'!I16,0)</f>
        <v>0</v>
      </c>
      <c r="I34" s="155">
        <f>IF($I$29='Auftragsänderungen &amp; -ergänzung'!K16,'Auftragsänderungen &amp; -ergänzung'!I16,0)</f>
        <v>0</v>
      </c>
      <c r="J34" s="156">
        <f>IF(J29='Auftragsänderungen &amp; -ergänzung'!$K$16,'Auftragsänderungen &amp; -ergänzung'!$I$16,0)</f>
        <v>0</v>
      </c>
      <c r="K34" s="156">
        <f>IF(K29='Auftragsänderungen &amp; -ergänzung'!$K$16,'Auftragsänderungen &amp; -ergänzung'!$I$16,0)</f>
        <v>0</v>
      </c>
      <c r="Q34" s="147"/>
      <c r="T34" s="4"/>
      <c r="U34" s="3"/>
      <c r="V34" s="5"/>
    </row>
    <row r="35" spans="2:22" ht="14.55" x14ac:dyDescent="0.3">
      <c r="B35" s="278"/>
      <c r="C35" s="154">
        <f>IF($C$29='Auftragsänderungen &amp; -ergänzung'!K18,'Auftragsänderungen &amp; -ergänzung'!I18,0)</f>
        <v>0</v>
      </c>
      <c r="D35" s="155">
        <f>IF($D$29='Auftragsänderungen &amp; -ergänzung'!K18,'Auftragsänderungen &amp; -ergänzung'!I18,0)</f>
        <v>0</v>
      </c>
      <c r="E35" s="155">
        <f>IF($E$29='Auftragsänderungen &amp; -ergänzung'!K18,'Auftragsänderungen &amp; -ergänzung'!I18,0)</f>
        <v>0</v>
      </c>
      <c r="F35" s="155">
        <f>IF($F$29='Auftragsänderungen &amp; -ergänzung'!K18,'Auftragsänderungen &amp; -ergänzung'!I18,0)</f>
        <v>0</v>
      </c>
      <c r="G35" s="155">
        <f>IF($G$29='Auftragsänderungen &amp; -ergänzung'!K18,'Auftragsänderungen &amp; -ergänzung'!I18,0)</f>
        <v>0</v>
      </c>
      <c r="H35" s="155">
        <f>IF($H$29='Auftragsänderungen &amp; -ergänzung'!K18,'Auftragsänderungen &amp; -ergänzung'!I18,0)</f>
        <v>0</v>
      </c>
      <c r="I35" s="155">
        <f>IF($I$29='Auftragsänderungen &amp; -ergänzung'!K18,'Auftragsänderungen &amp; -ergänzung'!I18,0)</f>
        <v>0</v>
      </c>
      <c r="J35" s="156">
        <f>IF(J29='Auftragsänderungen &amp; -ergänzung'!$K$18,'Auftragsänderungen &amp; -ergänzung'!$I$18,0)</f>
        <v>0</v>
      </c>
      <c r="K35" s="156">
        <f>IF(K29='Auftragsänderungen &amp; -ergänzung'!$K$18,'Auftragsänderungen &amp; -ergänzung'!$I$18,0)</f>
        <v>0</v>
      </c>
      <c r="T35" s="4"/>
      <c r="U35" s="3"/>
      <c r="V35" s="5"/>
    </row>
    <row r="36" spans="2:22" ht="14.55" x14ac:dyDescent="0.3">
      <c r="B36" s="278"/>
      <c r="C36" s="154">
        <f>IF($C$29='Auftragsänderungen &amp; -ergänzung'!K20,'Auftragsänderungen &amp; -ergänzung'!I20,0)</f>
        <v>0</v>
      </c>
      <c r="D36" s="155">
        <f>IF($D$29='Auftragsänderungen &amp; -ergänzung'!K20,'Auftragsänderungen &amp; -ergänzung'!I20,0)</f>
        <v>0</v>
      </c>
      <c r="E36" s="155">
        <f>IF($E$29='Auftragsänderungen &amp; -ergänzung'!K20,'Auftragsänderungen &amp; -ergänzung'!I20,0)</f>
        <v>0</v>
      </c>
      <c r="F36" s="155">
        <f>IF($F$29='Auftragsänderungen &amp; -ergänzung'!K20,'Auftragsänderungen &amp; -ergänzung'!I20,0)</f>
        <v>0</v>
      </c>
      <c r="G36" s="155">
        <f>IF($G$29='Auftragsänderungen &amp; -ergänzung'!K20,'Auftragsänderungen &amp; -ergänzung'!I20,0)</f>
        <v>0</v>
      </c>
      <c r="H36" s="155">
        <f>IF($H$29='Auftragsänderungen &amp; -ergänzung'!K20,'Auftragsänderungen &amp; -ergänzung'!I20,0)</f>
        <v>0</v>
      </c>
      <c r="I36" s="155">
        <f>IF($I$29='Auftragsänderungen &amp; -ergänzung'!K20,'Auftragsänderungen &amp; -ergänzung'!I20,0)</f>
        <v>0</v>
      </c>
      <c r="J36" s="156">
        <f>IF(J29='Auftragsänderungen &amp; -ergänzung'!$K$20,'Auftragsänderungen &amp; -ergänzung'!$I$20,0)</f>
        <v>0</v>
      </c>
      <c r="K36" s="156">
        <f>IF(K29='Auftragsänderungen &amp; -ergänzung'!$K$20,'Auftragsänderungen &amp; -ergänzung'!$I$20,0)</f>
        <v>0</v>
      </c>
      <c r="T36" s="4"/>
      <c r="U36" s="3"/>
      <c r="V36" s="5"/>
    </row>
    <row r="37" spans="2:22" ht="14.55" x14ac:dyDescent="0.3">
      <c r="B37" s="278"/>
      <c r="C37" s="154">
        <f>IF($C$29='Auftragsänderungen &amp; -ergänzung'!K22,'Auftragsänderungen &amp; -ergänzung'!I22,0)</f>
        <v>0</v>
      </c>
      <c r="D37" s="155">
        <f>IF($D$29='Auftragsänderungen &amp; -ergänzung'!K22,'Auftragsänderungen &amp; -ergänzung'!I22,0)</f>
        <v>0</v>
      </c>
      <c r="E37" s="155">
        <f>IF($E$29='Auftragsänderungen &amp; -ergänzung'!K22,'Auftragsänderungen &amp; -ergänzung'!I22,0)</f>
        <v>0</v>
      </c>
      <c r="F37" s="155">
        <f>IF($F$29='Auftragsänderungen &amp; -ergänzung'!K22,'Auftragsänderungen &amp; -ergänzung'!I22,0)</f>
        <v>0</v>
      </c>
      <c r="G37" s="155">
        <f>IF($G$29='Auftragsänderungen &amp; -ergänzung'!K22,'Auftragsänderungen &amp; -ergänzung'!I22,0)</f>
        <v>0</v>
      </c>
      <c r="H37" s="155">
        <f>IF($H$29='Auftragsänderungen &amp; -ergänzung'!K22,'Auftragsänderungen &amp; -ergänzung'!I22,0)</f>
        <v>0</v>
      </c>
      <c r="I37" s="155">
        <f>IF($I$29='Auftragsänderungen &amp; -ergänzung'!K22,'Auftragsänderungen &amp; -ergänzung'!I22,0)</f>
        <v>0</v>
      </c>
      <c r="J37" s="156">
        <f>IF(J29='Auftragsänderungen &amp; -ergänzung'!$K$22,'Auftragsänderungen &amp; -ergänzung'!$I$22,0)</f>
        <v>0</v>
      </c>
      <c r="K37" s="156">
        <f>IF(K29='Auftragsänderungen &amp; -ergänzung'!$K$22,'Auftragsänderungen &amp; -ergänzung'!$I$22,0)</f>
        <v>0</v>
      </c>
      <c r="T37" s="4"/>
      <c r="U37" s="3"/>
      <c r="V37" s="5"/>
    </row>
    <row r="38" spans="2:22" ht="14.55" x14ac:dyDescent="0.3">
      <c r="B38" s="278"/>
      <c r="C38" s="154">
        <f>IF($C$29='Auftragsänderungen &amp; -ergänzung'!K24,'Auftragsänderungen &amp; -ergänzung'!I24,0)</f>
        <v>0</v>
      </c>
      <c r="D38" s="155">
        <f>IF($D$29='Auftragsänderungen &amp; -ergänzung'!K24,'Auftragsänderungen &amp; -ergänzung'!I24,0)</f>
        <v>0</v>
      </c>
      <c r="E38" s="155">
        <f>IF($E$29='Auftragsänderungen &amp; -ergänzung'!K24,'Auftragsänderungen &amp; -ergänzung'!I24,0)</f>
        <v>0</v>
      </c>
      <c r="F38" s="155">
        <f>IF($F$29='Auftragsänderungen &amp; -ergänzung'!K24,'Auftragsänderungen &amp; -ergänzung'!I24,0)</f>
        <v>0</v>
      </c>
      <c r="G38" s="155">
        <f>IF($G$29='Auftragsänderungen &amp; -ergänzung'!K24,'Auftragsänderungen &amp; -ergänzung'!I24,0)</f>
        <v>0</v>
      </c>
      <c r="H38" s="155">
        <f>IF($H$29='Auftragsänderungen &amp; -ergänzung'!K24,'Auftragsänderungen &amp; -ergänzung'!I24,0)</f>
        <v>0</v>
      </c>
      <c r="I38" s="155">
        <f>IF($I$29='Auftragsänderungen &amp; -ergänzung'!K24,'Auftragsänderungen &amp; -ergänzung'!I24,0)</f>
        <v>0</v>
      </c>
      <c r="J38" s="156">
        <f>IF(J29='Auftragsänderungen &amp; -ergänzung'!$K$24,'Auftragsänderungen &amp; -ergänzung'!$I$24,0)</f>
        <v>0</v>
      </c>
      <c r="K38" s="156">
        <f>IF(K29='Auftragsänderungen &amp; -ergänzung'!$K$24,'Auftragsänderungen &amp; -ergänzung'!$I$24,0)</f>
        <v>0</v>
      </c>
      <c r="T38" s="4"/>
      <c r="U38" s="3"/>
      <c r="V38" s="5"/>
    </row>
    <row r="39" spans="2:22" ht="14.55" x14ac:dyDescent="0.3">
      <c r="B39" s="278"/>
      <c r="C39" s="154">
        <f>IF($C$29='Auftragsänderungen &amp; -ergänzung'!K26,'Auftragsänderungen &amp; -ergänzung'!I26,0)</f>
        <v>0</v>
      </c>
      <c r="D39" s="155">
        <f>IF($D$29='Auftragsänderungen &amp; -ergänzung'!K26,'Auftragsänderungen &amp; -ergänzung'!I26,0)</f>
        <v>0</v>
      </c>
      <c r="E39" s="155">
        <f>IF($E$29='Auftragsänderungen &amp; -ergänzung'!K26,'Auftragsänderungen &amp; -ergänzung'!I26,0)</f>
        <v>0</v>
      </c>
      <c r="F39" s="155">
        <f>IF($F$29='Auftragsänderungen &amp; -ergänzung'!K26,'Auftragsänderungen &amp; -ergänzung'!I26,0)</f>
        <v>0</v>
      </c>
      <c r="G39" s="155">
        <f>IF($G$29='Auftragsänderungen &amp; -ergänzung'!K26,'Auftragsänderungen &amp; -ergänzung'!I26,0)</f>
        <v>0</v>
      </c>
      <c r="H39" s="155">
        <f>IF($H$29='Auftragsänderungen &amp; -ergänzung'!K26,'Auftragsänderungen &amp; -ergänzung'!I26,0)</f>
        <v>0</v>
      </c>
      <c r="I39" s="155">
        <f>IF($I$29='Auftragsänderungen &amp; -ergänzung'!K26,'Auftragsänderungen &amp; -ergänzung'!I26,0)</f>
        <v>0</v>
      </c>
      <c r="J39" s="156">
        <f>IF(J29='Auftragsänderungen &amp; -ergänzung'!$K$26,'Auftragsänderungen &amp; -ergänzung'!$I$26,0)</f>
        <v>0</v>
      </c>
      <c r="K39" s="156">
        <f>IF(K29='Auftragsänderungen &amp; -ergänzung'!$K$26,'Auftragsänderungen &amp; -ergänzung'!$I$26,0)</f>
        <v>0</v>
      </c>
      <c r="T39" s="4"/>
      <c r="U39" s="3"/>
      <c r="V39" s="5"/>
    </row>
    <row r="40" spans="2:22" ht="14.55" x14ac:dyDescent="0.3">
      <c r="B40" s="278"/>
      <c r="C40" s="154">
        <f>IF($C$29='Auftragsänderungen &amp; -ergänzung'!K28,'Auftragsänderungen &amp; -ergänzung'!I28,0)</f>
        <v>0</v>
      </c>
      <c r="D40" s="155">
        <f>IF($D$29='Auftragsänderungen &amp; -ergänzung'!K28,'Auftragsänderungen &amp; -ergänzung'!I28,0)</f>
        <v>0</v>
      </c>
      <c r="E40" s="155">
        <f>IF($E$29='Auftragsänderungen &amp; -ergänzung'!K28,'Auftragsänderungen &amp; -ergänzung'!I28,0)</f>
        <v>0</v>
      </c>
      <c r="F40" s="155">
        <f>IF($F$29='Auftragsänderungen &amp; -ergänzung'!K28,'Auftragsänderungen &amp; -ergänzung'!I28,0)</f>
        <v>0</v>
      </c>
      <c r="G40" s="155">
        <f>IF($G$29='Auftragsänderungen &amp; -ergänzung'!K28,'Auftragsänderungen &amp; -ergänzung'!I28,0)</f>
        <v>0</v>
      </c>
      <c r="H40" s="155">
        <f>IF($H$29='Auftragsänderungen &amp; -ergänzung'!K28,'Auftragsänderungen &amp; -ergänzung'!I28,0)</f>
        <v>0</v>
      </c>
      <c r="I40" s="155">
        <f>IF($I$29='Auftragsänderungen &amp; -ergänzung'!K28,'Auftragsänderungen &amp; -ergänzung'!I28,0)</f>
        <v>0</v>
      </c>
      <c r="J40" s="156">
        <f>IF(J29='Auftragsänderungen &amp; -ergänzung'!$K$28,'Auftragsänderungen &amp; -ergänzung'!$I$28,0)</f>
        <v>0</v>
      </c>
      <c r="K40" s="156">
        <f>IF(K29='Auftragsänderungen &amp; -ergänzung'!$K$28,'Auftragsänderungen &amp; -ergänzung'!$I$28,0)</f>
        <v>0</v>
      </c>
      <c r="T40" s="4"/>
      <c r="U40" s="3"/>
      <c r="V40" s="5"/>
    </row>
    <row r="41" spans="2:22" ht="14.55" x14ac:dyDescent="0.3">
      <c r="B41" s="278"/>
      <c r="C41" s="154">
        <f>IF($C$29='Auftragsänderungen &amp; -ergänzung'!K30,'Auftragsänderungen &amp; -ergänzung'!I30,0)</f>
        <v>0</v>
      </c>
      <c r="D41" s="155">
        <f>IF($D$29='Auftragsänderungen &amp; -ergänzung'!K30,'Auftragsänderungen &amp; -ergänzung'!I30,0)</f>
        <v>0</v>
      </c>
      <c r="E41" s="155">
        <f>IF($E$29='Auftragsänderungen &amp; -ergänzung'!K30,'Auftragsänderungen &amp; -ergänzung'!I30,0)</f>
        <v>0</v>
      </c>
      <c r="F41" s="155">
        <f>IF($F$29='Auftragsänderungen &amp; -ergänzung'!K30,'Auftragsänderungen &amp; -ergänzung'!I30,0)</f>
        <v>0</v>
      </c>
      <c r="G41" s="155">
        <f>IF($G$29='Auftragsänderungen &amp; -ergänzung'!K30,'Auftragsänderungen &amp; -ergänzung'!I30,0)</f>
        <v>0</v>
      </c>
      <c r="H41" s="155">
        <f>IF($H$29='Auftragsänderungen &amp; -ergänzung'!K30,'Auftragsänderungen &amp; -ergänzung'!I30,0)</f>
        <v>0</v>
      </c>
      <c r="I41" s="155">
        <f>IF($I$29='Auftragsänderungen &amp; -ergänzung'!K30,'Auftragsänderungen &amp; -ergänzung'!I30,0)</f>
        <v>0</v>
      </c>
      <c r="J41" s="156">
        <f>IF(J29='Auftragsänderungen &amp; -ergänzung'!$K$30,'Auftragsänderungen &amp; -ergänzung'!$I$30,0)</f>
        <v>0</v>
      </c>
      <c r="K41" s="156">
        <f>IF(K29='Auftragsänderungen &amp; -ergänzung'!$K$30,'Auftragsänderungen &amp; -ergänzung'!$I$30,0)</f>
        <v>0</v>
      </c>
      <c r="T41" s="4"/>
      <c r="U41" s="3"/>
      <c r="V41" s="5"/>
    </row>
    <row r="42" spans="2:22" ht="14.55" x14ac:dyDescent="0.3">
      <c r="B42" s="278"/>
      <c r="C42" s="154">
        <f>IF($C$29='Auftragsänderungen &amp; -ergänzung'!K32,'Auftragsänderungen &amp; -ergänzung'!I32,0)</f>
        <v>0</v>
      </c>
      <c r="D42" s="155">
        <f>IF($D$29='Auftragsänderungen &amp; -ergänzung'!K32,'Auftragsänderungen &amp; -ergänzung'!I32,0)</f>
        <v>0</v>
      </c>
      <c r="E42" s="155">
        <f>IF($E$29='Auftragsänderungen &amp; -ergänzung'!K32,'Auftragsänderungen &amp; -ergänzung'!I32,0)</f>
        <v>0</v>
      </c>
      <c r="F42" s="155">
        <f>IF($F$29='Auftragsänderungen &amp; -ergänzung'!K32,'Auftragsänderungen &amp; -ergänzung'!I32,0)</f>
        <v>0</v>
      </c>
      <c r="G42" s="155">
        <f>IF($G$29='Auftragsänderungen &amp; -ergänzung'!K32,'Auftragsänderungen &amp; -ergänzung'!I32,0)</f>
        <v>0</v>
      </c>
      <c r="H42" s="155">
        <f>IF($H$29='Auftragsänderungen &amp; -ergänzung'!K32,'Auftragsänderungen &amp; -ergänzung'!I32,0)</f>
        <v>0</v>
      </c>
      <c r="I42" s="155">
        <f>IF($I$29='Auftragsänderungen &amp; -ergänzung'!K32,'Auftragsänderungen &amp; -ergänzung'!I32,0)</f>
        <v>0</v>
      </c>
      <c r="J42" s="156">
        <f>IF(J29='Auftragsänderungen &amp; -ergänzung'!$K$32,'Auftragsänderungen &amp; -ergänzung'!$I$32,0)</f>
        <v>0</v>
      </c>
      <c r="K42" s="156">
        <f>IF(K29='Auftragsänderungen &amp; -ergänzung'!$K$32,'Auftragsänderungen &amp; -ergänzung'!$I$32,0)</f>
        <v>0</v>
      </c>
      <c r="T42" s="4"/>
      <c r="U42" s="3"/>
      <c r="V42" s="5"/>
    </row>
    <row r="43" spans="2:22" ht="14.55" x14ac:dyDescent="0.3">
      <c r="B43" s="278"/>
      <c r="C43" s="154">
        <f>IF($C$29='Auftragsänderungen &amp; -ergänzung'!K34,'Auftragsänderungen &amp; -ergänzung'!I34,0)</f>
        <v>0</v>
      </c>
      <c r="D43" s="155">
        <f>IF($D$29='Auftragsänderungen &amp; -ergänzung'!K34,'Auftragsänderungen &amp; -ergänzung'!I34,0)</f>
        <v>0</v>
      </c>
      <c r="E43" s="155">
        <f>IF($E$29='Auftragsänderungen &amp; -ergänzung'!K34,'Auftragsänderungen &amp; -ergänzung'!I34,0)</f>
        <v>0</v>
      </c>
      <c r="F43" s="155">
        <f>IF($F$29='Auftragsänderungen &amp; -ergänzung'!K34,'Auftragsänderungen &amp; -ergänzung'!I34,0)</f>
        <v>0</v>
      </c>
      <c r="G43" s="155">
        <f>IF($G$29='Auftragsänderungen &amp; -ergänzung'!K34,'Auftragsänderungen &amp; -ergänzung'!I34,0)</f>
        <v>0</v>
      </c>
      <c r="H43" s="155">
        <f>IF($H$29='Auftragsänderungen &amp; -ergänzung'!K34,'Auftragsänderungen &amp; -ergänzung'!I34,0)</f>
        <v>0</v>
      </c>
      <c r="I43" s="155">
        <f>IF($I$29='Auftragsänderungen &amp; -ergänzung'!K34,'Auftragsänderungen &amp; -ergänzung'!I34,0)</f>
        <v>0</v>
      </c>
      <c r="J43" s="156">
        <f>IF(J29='Auftragsänderungen &amp; -ergänzung'!$K$34,'Auftragsänderungen &amp; -ergänzung'!$I$34,0)</f>
        <v>0</v>
      </c>
      <c r="K43" s="156">
        <f>IF(K29='Auftragsänderungen &amp; -ergänzung'!$K$34,'Auftragsänderungen &amp; -ergänzung'!$I$34,0)</f>
        <v>0</v>
      </c>
      <c r="T43" s="4"/>
      <c r="U43" s="3"/>
      <c r="V43" s="5"/>
    </row>
    <row r="44" spans="2:22" ht="14.55" x14ac:dyDescent="0.3">
      <c r="B44" s="278"/>
      <c r="C44" s="154">
        <f>IF($C$29='Auftragsänderungen &amp; -ergänzung'!K36,'Auftragsänderungen &amp; -ergänzung'!I36,0)</f>
        <v>0</v>
      </c>
      <c r="D44" s="155">
        <f>IF($D$29='Auftragsänderungen &amp; -ergänzung'!K36,'Auftragsänderungen &amp; -ergänzung'!I36,0)</f>
        <v>0</v>
      </c>
      <c r="E44" s="155">
        <f>IF($E$29='Auftragsänderungen &amp; -ergänzung'!K36,'Auftragsänderungen &amp; -ergänzung'!I36,0)</f>
        <v>0</v>
      </c>
      <c r="F44" s="155">
        <f>IF($F$29='Auftragsänderungen &amp; -ergänzung'!K36,'Auftragsänderungen &amp; -ergänzung'!I36,0)</f>
        <v>0</v>
      </c>
      <c r="G44" s="155">
        <f>IF($G$29='Auftragsänderungen &amp; -ergänzung'!K36,'Auftragsänderungen &amp; -ergänzung'!I36,0)</f>
        <v>0</v>
      </c>
      <c r="H44" s="155">
        <f>IF($H$29='Auftragsänderungen &amp; -ergänzung'!K36,'Auftragsänderungen &amp; -ergänzung'!I36,0)</f>
        <v>0</v>
      </c>
      <c r="I44" s="155">
        <f>IF($I$29='Auftragsänderungen &amp; -ergänzung'!K36,'Auftragsänderungen &amp; -ergänzung'!I36,0)</f>
        <v>0</v>
      </c>
      <c r="J44" s="156">
        <f>IF(J29='Auftragsänderungen &amp; -ergänzung'!$K$36,'Auftragsänderungen &amp; -ergänzung'!$I$36,0)</f>
        <v>0</v>
      </c>
      <c r="K44" s="156">
        <f>IF(K29='Auftragsänderungen &amp; -ergänzung'!$K$36,'Auftragsänderungen &amp; -ergänzung'!$I$36,0)</f>
        <v>0</v>
      </c>
      <c r="T44" s="4"/>
      <c r="U44" s="3"/>
      <c r="V44" s="5"/>
    </row>
    <row r="45" spans="2:22" ht="14.55" x14ac:dyDescent="0.3">
      <c r="B45" s="278"/>
      <c r="C45" s="154">
        <f>IF($C$29='Auftragsänderungen &amp; -ergänzung'!K38,'Auftragsänderungen &amp; -ergänzung'!I38,0)</f>
        <v>0</v>
      </c>
      <c r="D45" s="155">
        <f>IF($D$29='Auftragsänderungen &amp; -ergänzung'!K38,'Auftragsänderungen &amp; -ergänzung'!I38,0)</f>
        <v>0</v>
      </c>
      <c r="E45" s="155">
        <f>IF($E$29='Auftragsänderungen &amp; -ergänzung'!K38,'Auftragsänderungen &amp; -ergänzung'!I38,0)</f>
        <v>0</v>
      </c>
      <c r="F45" s="155">
        <f>IF($F$29='Auftragsänderungen &amp; -ergänzung'!K38,'Auftragsänderungen &amp; -ergänzung'!I38,0)</f>
        <v>0</v>
      </c>
      <c r="G45" s="155">
        <f>IF($G$29='Auftragsänderungen &amp; -ergänzung'!K38,'Auftragsänderungen &amp; -ergänzung'!I38,0)</f>
        <v>0</v>
      </c>
      <c r="H45" s="155">
        <f>IF($H$29='Auftragsänderungen &amp; -ergänzung'!K38,'Auftragsänderungen &amp; -ergänzung'!I38,0)</f>
        <v>0</v>
      </c>
      <c r="I45" s="155">
        <f>IF($I$29='Auftragsänderungen &amp; -ergänzung'!K38,'Auftragsänderungen &amp; -ergänzung'!I38,0)</f>
        <v>0</v>
      </c>
      <c r="J45" s="156">
        <f>IF(J29='Auftragsänderungen &amp; -ergänzung'!$K$38,'Auftragsänderungen &amp; -ergänzung'!$I$38,0)</f>
        <v>0</v>
      </c>
      <c r="K45" s="156">
        <f>IF(K29='Auftragsänderungen &amp; -ergänzung'!$K$38,'Auftragsänderungen &amp; -ergänzung'!$I$38,0)</f>
        <v>0</v>
      </c>
      <c r="T45" s="4"/>
      <c r="U45" s="3"/>
      <c r="V45" s="5"/>
    </row>
    <row r="46" spans="2:22" ht="14.55" x14ac:dyDescent="0.3">
      <c r="B46" s="278"/>
      <c r="C46" s="154">
        <f>IF($C$29='Auftragsänderungen &amp; -ergänzung'!K40,'Auftragsänderungen &amp; -ergänzung'!I40,0)</f>
        <v>0</v>
      </c>
      <c r="D46" s="155">
        <f>IF($D$29='Auftragsänderungen &amp; -ergänzung'!K40,'Auftragsänderungen &amp; -ergänzung'!I40,0)</f>
        <v>0</v>
      </c>
      <c r="E46" s="155">
        <f>IF($E$29='Auftragsänderungen &amp; -ergänzung'!K40,'Auftragsänderungen &amp; -ergänzung'!I40,0)</f>
        <v>0</v>
      </c>
      <c r="F46" s="155">
        <f>IF($F$29='Auftragsänderungen &amp; -ergänzung'!K40,'Auftragsänderungen &amp; -ergänzung'!I40,0)</f>
        <v>0</v>
      </c>
      <c r="G46" s="155">
        <f>IF($G$29='Auftragsänderungen &amp; -ergänzung'!K40,'Auftragsänderungen &amp; -ergänzung'!I40,0)</f>
        <v>0</v>
      </c>
      <c r="H46" s="155">
        <f>IF($H$29='Auftragsänderungen &amp; -ergänzung'!K40,'Auftragsänderungen &amp; -ergänzung'!I40,0)</f>
        <v>0</v>
      </c>
      <c r="I46" s="155">
        <f>IF($I$29='Auftragsänderungen &amp; -ergänzung'!K40,'Auftragsänderungen &amp; -ergänzung'!I40,0)</f>
        <v>0</v>
      </c>
      <c r="J46" s="156">
        <f>IF(J29='Auftragsänderungen &amp; -ergänzung'!$K$40,'Auftragsänderungen &amp; -ergänzung'!$I$40,0)</f>
        <v>0</v>
      </c>
      <c r="K46" s="156">
        <f>IF(K29='Auftragsänderungen &amp; -ergänzung'!$K$40,'Auftragsänderungen &amp; -ergänzung'!$I$40,0)</f>
        <v>0</v>
      </c>
      <c r="T46" s="4"/>
      <c r="U46" s="3"/>
      <c r="V46" s="5"/>
    </row>
    <row r="47" spans="2:22" ht="15.2" thickBot="1" x14ac:dyDescent="0.35">
      <c r="B47" s="278"/>
      <c r="C47" s="157">
        <f>IF($C$29='Auftragsänderungen &amp; -ergänzung'!K42,'Auftragsänderungen &amp; -ergänzung'!I42,0)</f>
        <v>0</v>
      </c>
      <c r="D47" s="158">
        <f>IF($D$29='Auftragsänderungen &amp; -ergänzung'!K42,'Auftragsänderungen &amp; -ergänzung'!I42,0)</f>
        <v>0</v>
      </c>
      <c r="E47" s="158">
        <f>IF($E$29='Auftragsänderungen &amp; -ergänzung'!K42,'Auftragsänderungen &amp; -ergänzung'!I42,0)</f>
        <v>0</v>
      </c>
      <c r="F47" s="158">
        <f>IF($F$29='Auftragsänderungen &amp; -ergänzung'!K42,'Auftragsänderungen &amp; -ergänzung'!I42,0)</f>
        <v>0</v>
      </c>
      <c r="G47" s="158">
        <f>IF($G$29='Auftragsänderungen &amp; -ergänzung'!K42,'Auftragsänderungen &amp; -ergänzung'!I42,0)</f>
        <v>0</v>
      </c>
      <c r="H47" s="158">
        <f>IF($H$29='Auftragsänderungen &amp; -ergänzung'!K42,'Auftragsänderungen &amp; -ergänzung'!I42,0)</f>
        <v>0</v>
      </c>
      <c r="I47" s="158">
        <f>IF($I$29='Auftragsänderungen &amp; -ergänzung'!K42,'Auftragsänderungen &amp; -ergänzung'!I42,0)</f>
        <v>0</v>
      </c>
      <c r="J47" s="159">
        <f>IF(J29='Auftragsänderungen &amp; -ergänzung'!$K$42,'Auftragsänderungen &amp; -ergänzung'!$I$42,0)</f>
        <v>0</v>
      </c>
      <c r="K47" s="159">
        <f>IF(K29='Auftragsänderungen &amp; -ergänzung'!$K$42,'Auftragsänderungen &amp; -ergänzung'!$I$42,0)</f>
        <v>0</v>
      </c>
      <c r="T47" s="4"/>
      <c r="U47" s="3"/>
      <c r="V47" s="5"/>
    </row>
    <row r="48" spans="2:22" ht="15.2" thickBot="1" x14ac:dyDescent="0.35">
      <c r="B48" s="278"/>
      <c r="C48" s="160">
        <f t="shared" ref="C48" si="0">SUM(C30:C47)</f>
        <v>0</v>
      </c>
      <c r="D48" s="160">
        <f t="shared" ref="D48:J48" si="1">SUM(D30:D47)</f>
        <v>0</v>
      </c>
      <c r="E48" s="160">
        <f t="shared" si="1"/>
        <v>0</v>
      </c>
      <c r="F48" s="160">
        <f t="shared" si="1"/>
        <v>0</v>
      </c>
      <c r="G48" s="160">
        <f t="shared" si="1"/>
        <v>0</v>
      </c>
      <c r="H48" s="160">
        <f t="shared" si="1"/>
        <v>0</v>
      </c>
      <c r="I48" s="160">
        <f t="shared" si="1"/>
        <v>0</v>
      </c>
      <c r="J48" s="160">
        <f t="shared" si="1"/>
        <v>0</v>
      </c>
      <c r="K48" s="160">
        <f t="shared" ref="K48" si="2">SUM(K30:K47)</f>
        <v>0</v>
      </c>
      <c r="T48" s="4"/>
      <c r="U48" s="3"/>
      <c r="V48" s="5"/>
    </row>
    <row r="49" spans="2:22" s="73" customFormat="1" ht="14.55" x14ac:dyDescent="0.3">
      <c r="T49" s="273"/>
      <c r="U49" s="274"/>
      <c r="V49" s="275"/>
    </row>
    <row r="50" spans="2:22" s="73" customFormat="1" ht="14.55" x14ac:dyDescent="0.3">
      <c r="B50" s="1700"/>
      <c r="C50" s="1700"/>
      <c r="D50" s="1700"/>
      <c r="E50" s="1700"/>
      <c r="F50" s="1700"/>
      <c r="G50" s="1700"/>
      <c r="H50" s="1700"/>
      <c r="I50" s="1700"/>
      <c r="J50" s="1700"/>
      <c r="T50" s="273"/>
      <c r="U50" s="274"/>
      <c r="V50" s="275"/>
    </row>
    <row r="51" spans="2:22" s="73" customFormat="1" ht="15.2" thickBot="1" x14ac:dyDescent="0.35">
      <c r="T51" s="273"/>
      <c r="U51" s="274"/>
      <c r="V51" s="275"/>
    </row>
    <row r="52" spans="2:22" ht="15.2" thickBot="1" x14ac:dyDescent="0.35">
      <c r="B52" s="279" t="s">
        <v>115</v>
      </c>
      <c r="C52" s="271">
        <v>1</v>
      </c>
      <c r="D52" s="272">
        <v>2</v>
      </c>
      <c r="E52" s="272">
        <v>3</v>
      </c>
      <c r="F52" s="272">
        <v>4</v>
      </c>
      <c r="G52" s="272">
        <v>5</v>
      </c>
      <c r="H52" s="272">
        <v>6</v>
      </c>
      <c r="I52" s="272">
        <v>7</v>
      </c>
      <c r="J52" s="272">
        <v>8</v>
      </c>
      <c r="K52" s="288">
        <v>9</v>
      </c>
      <c r="T52" s="4"/>
      <c r="U52" s="3"/>
      <c r="V52" s="5"/>
    </row>
    <row r="53" spans="2:22" ht="14.55" x14ac:dyDescent="0.3">
      <c r="B53" s="170"/>
      <c r="C53" s="280">
        <f>IF($C$52='Auftragsänderungen &amp; -ergänzung'!K44,'Auftragsänderungen &amp; -ergänzung'!I44,0)</f>
        <v>0</v>
      </c>
      <c r="D53" s="281">
        <f>IF($D$52='Auftragsänderungen &amp; -ergänzung'!K44,'Auftragsänderungen &amp; -ergänzung'!I44,0)</f>
        <v>0</v>
      </c>
      <c r="E53" s="281">
        <f>IF($E$52='Auftragsänderungen &amp; -ergänzung'!K44,'Auftragsänderungen &amp; -ergänzung'!I44,0)</f>
        <v>0</v>
      </c>
      <c r="F53" s="281">
        <f>IF($F$52='Auftragsänderungen &amp; -ergänzung'!K44,'Auftragsänderungen &amp; -ergänzung'!I44,0)</f>
        <v>0</v>
      </c>
      <c r="G53" s="281">
        <f>IF($G$52='Auftragsänderungen &amp; -ergänzung'!K44,'Auftragsänderungen &amp; -ergänzung'!I44,0)</f>
        <v>0</v>
      </c>
      <c r="H53" s="281">
        <f>IF($H$52='Auftragsänderungen &amp; -ergänzung'!K44,'Auftragsänderungen &amp; -ergänzung'!I44,0)</f>
        <v>0</v>
      </c>
      <c r="I53" s="281">
        <f>IF($I$52='Auftragsänderungen &amp; -ergänzung'!K44,'Auftragsänderungen &amp; -ergänzung'!I44,0)</f>
        <v>0</v>
      </c>
      <c r="J53" s="281">
        <f>IF(J52='Auftragsänderungen &amp; -ergänzung'!$K$44,'Auftragsänderungen &amp; -ergänzung'!$I$44,0)</f>
        <v>0</v>
      </c>
      <c r="K53" s="282">
        <f>IF(K52='Auftragsänderungen &amp; -ergänzung'!$K$44,'Auftragsänderungen &amp; -ergänzung'!$I$44,0)</f>
        <v>0</v>
      </c>
      <c r="T53" s="4"/>
      <c r="U53" s="3"/>
      <c r="V53" s="5"/>
    </row>
    <row r="54" spans="2:22" ht="14.55" x14ac:dyDescent="0.3">
      <c r="B54" s="170"/>
      <c r="C54" s="154">
        <f>IF($C$52='Auftragsänderungen &amp; -ergänzung'!K46,'Auftragsänderungen &amp; -ergänzung'!I46,0)</f>
        <v>0</v>
      </c>
      <c r="D54" s="155">
        <f>IF($D$52='Auftragsänderungen &amp; -ergänzung'!K46,'Auftragsänderungen &amp; -ergänzung'!I46,0)</f>
        <v>0</v>
      </c>
      <c r="E54" s="155">
        <f>IF($E$52='Auftragsänderungen &amp; -ergänzung'!K46,'Auftragsänderungen &amp; -ergänzung'!I46,0)</f>
        <v>0</v>
      </c>
      <c r="F54" s="155">
        <f>IF($F$52='Auftragsänderungen &amp; -ergänzung'!K46,'Auftragsänderungen &amp; -ergänzung'!I46,0)</f>
        <v>0</v>
      </c>
      <c r="G54" s="155">
        <f>IF($G$52='Auftragsänderungen &amp; -ergänzung'!K46,'Auftragsänderungen &amp; -ergänzung'!I46,0)</f>
        <v>0</v>
      </c>
      <c r="H54" s="155">
        <f>IF($H$52='Auftragsänderungen &amp; -ergänzung'!K46,'Auftragsänderungen &amp; -ergänzung'!I46,0)</f>
        <v>0</v>
      </c>
      <c r="I54" s="155">
        <f>IF($I$52='Auftragsänderungen &amp; -ergänzung'!K46,'Auftragsänderungen &amp; -ergänzung'!I46,0)</f>
        <v>0</v>
      </c>
      <c r="J54" s="155">
        <f>IF(J52='Auftragsänderungen &amp; -ergänzung'!$K$46,'Auftragsänderungen &amp; -ergänzung'!$I$46,0)</f>
        <v>0</v>
      </c>
      <c r="K54" s="156">
        <f>IF(K52='Auftragsänderungen &amp; -ergänzung'!$K$46,'Auftragsänderungen &amp; -ergänzung'!$I$46,0)</f>
        <v>0</v>
      </c>
      <c r="T54" s="4"/>
      <c r="U54" s="3"/>
      <c r="V54" s="5"/>
    </row>
    <row r="55" spans="2:22" ht="14.55" x14ac:dyDescent="0.3">
      <c r="C55" s="154">
        <f>IF($C$52='Auftragsänderungen &amp; -ergänzung'!K48,'Auftragsänderungen &amp; -ergänzung'!I48,0)</f>
        <v>0</v>
      </c>
      <c r="D55" s="155">
        <f>IF($D$52='Auftragsänderungen &amp; -ergänzung'!K48,'Auftragsänderungen &amp; -ergänzung'!I48,0)</f>
        <v>0</v>
      </c>
      <c r="E55" s="155">
        <f>IF($E$52='Auftragsänderungen &amp; -ergänzung'!K48,'Auftragsänderungen &amp; -ergänzung'!I48,0)</f>
        <v>0</v>
      </c>
      <c r="F55" s="155">
        <f>IF($F$52='Auftragsänderungen &amp; -ergänzung'!K48,'Auftragsänderungen &amp; -ergänzung'!I48,0)</f>
        <v>0</v>
      </c>
      <c r="G55" s="155">
        <f>IF($G$52='Auftragsänderungen &amp; -ergänzung'!K48,'Auftragsänderungen &amp; -ergänzung'!I48,0)</f>
        <v>0</v>
      </c>
      <c r="H55" s="155">
        <f>IF($H$52='Auftragsänderungen &amp; -ergänzung'!K48,'Auftragsänderungen &amp; -ergänzung'!I48,0)</f>
        <v>0</v>
      </c>
      <c r="I55" s="155">
        <f>IF($I$52='Auftragsänderungen &amp; -ergänzung'!K48,'Auftragsänderungen &amp; -ergänzung'!I48,0)</f>
        <v>0</v>
      </c>
      <c r="J55" s="155">
        <f>IF(J52='Auftragsänderungen &amp; -ergänzung'!$K$48,'Auftragsänderungen &amp; -ergänzung'!$I$48,0)</f>
        <v>0</v>
      </c>
      <c r="K55" s="156">
        <f>IF(K52='Auftragsänderungen &amp; -ergänzung'!$K$48,'Auftragsänderungen &amp; -ergänzung'!$I$48,0)</f>
        <v>0</v>
      </c>
      <c r="T55" s="4"/>
      <c r="U55" s="3"/>
      <c r="V55" s="5"/>
    </row>
    <row r="56" spans="2:22" ht="14.55" x14ac:dyDescent="0.3">
      <c r="C56" s="154">
        <f>IF($C$52='Auftragsänderungen &amp; -ergänzung'!K50,'Auftragsänderungen &amp; -ergänzung'!I50,0)</f>
        <v>0</v>
      </c>
      <c r="D56" s="155">
        <f>IF($D$52='Auftragsänderungen &amp; -ergänzung'!K50,'Auftragsänderungen &amp; -ergänzung'!I50,0)</f>
        <v>0</v>
      </c>
      <c r="E56" s="155">
        <f>IF($E$52='Auftragsänderungen &amp; -ergänzung'!K50,'Auftragsänderungen &amp; -ergänzung'!I50,0)</f>
        <v>0</v>
      </c>
      <c r="F56" s="155">
        <f>IF($F$52='Auftragsänderungen &amp; -ergänzung'!K50,'Auftragsänderungen &amp; -ergänzung'!I50,0)</f>
        <v>0</v>
      </c>
      <c r="G56" s="155">
        <f>IF($G$52='Auftragsänderungen &amp; -ergänzung'!K50,'Auftragsänderungen &amp; -ergänzung'!I50,0)</f>
        <v>0</v>
      </c>
      <c r="H56" s="155">
        <f>IF($H$52='Auftragsänderungen &amp; -ergänzung'!K50,'Auftragsänderungen &amp; -ergänzung'!I50,0)</f>
        <v>0</v>
      </c>
      <c r="I56" s="155">
        <f>IF($I$52='Auftragsänderungen &amp; -ergänzung'!K50,'Auftragsänderungen &amp; -ergänzung'!I50,0)</f>
        <v>0</v>
      </c>
      <c r="J56" s="155">
        <f>IF(J52='Auftragsänderungen &amp; -ergänzung'!$K$50,'Auftragsänderungen &amp; -ergänzung'!$I$50,0)</f>
        <v>0</v>
      </c>
      <c r="K56" s="156">
        <f>IF(K52='Auftragsänderungen &amp; -ergänzung'!$K$50,'Auftragsänderungen &amp; -ergänzung'!$I$50,0)</f>
        <v>0</v>
      </c>
      <c r="T56" s="4"/>
      <c r="U56" s="3"/>
      <c r="V56" s="5"/>
    </row>
    <row r="57" spans="2:22" ht="14.55" x14ac:dyDescent="0.3">
      <c r="C57" s="154">
        <f>IF($C$52='Auftragsänderungen &amp; -ergänzung'!K52,'Auftragsänderungen &amp; -ergänzung'!I52,0)</f>
        <v>0</v>
      </c>
      <c r="D57" s="155">
        <f>IF($D$52='Auftragsänderungen &amp; -ergänzung'!K52,'Auftragsänderungen &amp; -ergänzung'!I52,0)</f>
        <v>0</v>
      </c>
      <c r="E57" s="155">
        <f>IF($E$52='Auftragsänderungen &amp; -ergänzung'!K52,'Auftragsänderungen &amp; -ergänzung'!I52,0)</f>
        <v>0</v>
      </c>
      <c r="F57" s="155">
        <f>IF($F$52='Auftragsänderungen &amp; -ergänzung'!K52,'Auftragsänderungen &amp; -ergänzung'!I52,0)</f>
        <v>0</v>
      </c>
      <c r="G57" s="155">
        <f>IF($G$52='Auftragsänderungen &amp; -ergänzung'!K52,'Auftragsänderungen &amp; -ergänzung'!I52,0)</f>
        <v>0</v>
      </c>
      <c r="H57" s="155">
        <f>IF($H$52='Auftragsänderungen &amp; -ergänzung'!K52,'Auftragsänderungen &amp; -ergänzung'!I52,0)</f>
        <v>0</v>
      </c>
      <c r="I57" s="155">
        <f>IF($I$52='Auftragsänderungen &amp; -ergänzung'!K52,'Auftragsänderungen &amp; -ergänzung'!I52,0)</f>
        <v>0</v>
      </c>
      <c r="J57" s="155">
        <f>IF(J52='Auftragsänderungen &amp; -ergänzung'!$K$52,'Auftragsänderungen &amp; -ergänzung'!$I$52,0)</f>
        <v>0</v>
      </c>
      <c r="K57" s="156">
        <f>IF(K52='Auftragsänderungen &amp; -ergänzung'!$K$52,'Auftragsänderungen &amp; -ergänzung'!$I$52,0)</f>
        <v>0</v>
      </c>
      <c r="T57" s="4"/>
      <c r="U57" s="3"/>
      <c r="V57" s="5"/>
    </row>
    <row r="58" spans="2:22" ht="14.55" x14ac:dyDescent="0.3">
      <c r="C58" s="154">
        <f>IF($C$52='Auftragsänderungen &amp; -ergänzung'!K54,'Auftragsänderungen &amp; -ergänzung'!I54,0)</f>
        <v>0</v>
      </c>
      <c r="D58" s="155">
        <f>IF($D$52='Auftragsänderungen &amp; -ergänzung'!K54,'Auftragsänderungen &amp; -ergänzung'!I54,0)</f>
        <v>0</v>
      </c>
      <c r="E58" s="155">
        <f>IF($E$52='Auftragsänderungen &amp; -ergänzung'!K54,'Auftragsänderungen &amp; -ergänzung'!I54,0)</f>
        <v>0</v>
      </c>
      <c r="F58" s="155">
        <f>IF($F$52='Auftragsänderungen &amp; -ergänzung'!K54,'Auftragsänderungen &amp; -ergänzung'!I54,0)</f>
        <v>0</v>
      </c>
      <c r="G58" s="155">
        <f>IF($G$52='Auftragsänderungen &amp; -ergänzung'!K54,'Auftragsänderungen &amp; -ergänzung'!I54,0)</f>
        <v>0</v>
      </c>
      <c r="H58" s="155">
        <f>IF($H$52='Auftragsänderungen &amp; -ergänzung'!K54,'Auftragsänderungen &amp; -ergänzung'!I54,0)</f>
        <v>0</v>
      </c>
      <c r="I58" s="155">
        <f>IF($I$52='Auftragsänderungen &amp; -ergänzung'!K54,'Auftragsänderungen &amp; -ergänzung'!I54,0)</f>
        <v>0</v>
      </c>
      <c r="J58" s="155">
        <f>IF(J52='Auftragsänderungen &amp; -ergänzung'!$K$54,'Auftragsänderungen &amp; -ergänzung'!$I$54,0)</f>
        <v>0</v>
      </c>
      <c r="K58" s="156">
        <f>IF(K52='Auftragsänderungen &amp; -ergänzung'!$K$54,'Auftragsänderungen &amp; -ergänzung'!$I$54,0)</f>
        <v>0</v>
      </c>
      <c r="T58" s="4"/>
      <c r="U58" s="3"/>
      <c r="V58" s="5"/>
    </row>
    <row r="59" spans="2:22" ht="14.55" x14ac:dyDescent="0.3">
      <c r="C59" s="154">
        <f>IF($C$52='Auftragsänderungen &amp; -ergänzung'!K56,'Auftragsänderungen &amp; -ergänzung'!I56,0)</f>
        <v>0</v>
      </c>
      <c r="D59" s="155">
        <f>IF($D$52='Auftragsänderungen &amp; -ergänzung'!K56,'Auftragsänderungen &amp; -ergänzung'!I56,0)</f>
        <v>0</v>
      </c>
      <c r="E59" s="155">
        <f>IF($E$52='Auftragsänderungen &amp; -ergänzung'!K56,'Auftragsänderungen &amp; -ergänzung'!I56,0)</f>
        <v>0</v>
      </c>
      <c r="F59" s="155">
        <f>IF($F$52='Auftragsänderungen &amp; -ergänzung'!K56,'Auftragsänderungen &amp; -ergänzung'!I56,0)</f>
        <v>0</v>
      </c>
      <c r="G59" s="155">
        <f>IF($G$52='Auftragsänderungen &amp; -ergänzung'!K56,'Auftragsänderungen &amp; -ergänzung'!I56,0)</f>
        <v>0</v>
      </c>
      <c r="H59" s="155">
        <f>IF($H$52='Auftragsänderungen &amp; -ergänzung'!K56,'Auftragsänderungen &amp; -ergänzung'!I56,0)</f>
        <v>0</v>
      </c>
      <c r="I59" s="155">
        <f>IF($I$52='Auftragsänderungen &amp; -ergänzung'!K56,'Auftragsänderungen &amp; -ergänzung'!I56,0)</f>
        <v>0</v>
      </c>
      <c r="J59" s="155">
        <f>IF(J52='Auftragsänderungen &amp; -ergänzung'!$K$56,'Auftragsänderungen &amp; -ergänzung'!$I$56,0)</f>
        <v>0</v>
      </c>
      <c r="K59" s="156">
        <f>IF(K52='Auftragsänderungen &amp; -ergänzung'!$K$56,'Auftragsänderungen &amp; -ergänzung'!$I$56,0)</f>
        <v>0</v>
      </c>
      <c r="T59" s="4"/>
      <c r="U59" s="3"/>
      <c r="V59" s="5"/>
    </row>
    <row r="60" spans="2:22" ht="14.55" x14ac:dyDescent="0.3">
      <c r="C60" s="154">
        <f>IF($C$52='Auftragsänderungen &amp; -ergänzung'!K58,'Auftragsänderungen &amp; -ergänzung'!I58,0)</f>
        <v>0</v>
      </c>
      <c r="D60" s="155">
        <f>IF($D$52='Auftragsänderungen &amp; -ergänzung'!K58,'Auftragsänderungen &amp; -ergänzung'!I58,0)</f>
        <v>0</v>
      </c>
      <c r="E60" s="155">
        <f>IF($E$52='Auftragsänderungen &amp; -ergänzung'!K58,'Auftragsänderungen &amp; -ergänzung'!I58,0)</f>
        <v>0</v>
      </c>
      <c r="F60" s="155">
        <f>IF($F$52='Auftragsänderungen &amp; -ergänzung'!K58,'Auftragsänderungen &amp; -ergänzung'!I58,0)</f>
        <v>0</v>
      </c>
      <c r="G60" s="155">
        <f>IF($G$52='Auftragsänderungen &amp; -ergänzung'!K58,'Auftragsänderungen &amp; -ergänzung'!I58,0)</f>
        <v>0</v>
      </c>
      <c r="H60" s="155">
        <f>IF($H$52='Auftragsänderungen &amp; -ergänzung'!K58,'Auftragsänderungen &amp; -ergänzung'!I58,0)</f>
        <v>0</v>
      </c>
      <c r="I60" s="155">
        <f>IF($I$52='Auftragsänderungen &amp; -ergänzung'!K58,'Auftragsänderungen &amp; -ergänzung'!I58,0)</f>
        <v>0</v>
      </c>
      <c r="J60" s="155">
        <f>IF(J52='Auftragsänderungen &amp; -ergänzung'!$K$58,'Auftragsänderungen &amp; -ergänzung'!$I$58,0)</f>
        <v>0</v>
      </c>
      <c r="K60" s="156">
        <f>IF(K52='Auftragsänderungen &amp; -ergänzung'!$K$58,'Auftragsänderungen &amp; -ergänzung'!$I$58,0)</f>
        <v>0</v>
      </c>
      <c r="T60" s="4"/>
      <c r="U60" s="3"/>
      <c r="V60" s="5"/>
    </row>
    <row r="61" spans="2:22" ht="14.55" x14ac:dyDescent="0.3">
      <c r="C61" s="154">
        <f>IF($C$52='Auftragsänderungen &amp; -ergänzung'!K60,'Auftragsänderungen &amp; -ergänzung'!I60,0)</f>
        <v>0</v>
      </c>
      <c r="D61" s="155">
        <f>IF($D$52='Auftragsänderungen &amp; -ergänzung'!K60,'Auftragsänderungen &amp; -ergänzung'!I60,0)</f>
        <v>0</v>
      </c>
      <c r="E61" s="155">
        <f>IF($E$52='Auftragsänderungen &amp; -ergänzung'!K60,'Auftragsänderungen &amp; -ergänzung'!I60,0)</f>
        <v>0</v>
      </c>
      <c r="F61" s="155">
        <f>IF($F$52='Auftragsänderungen &amp; -ergänzung'!K60,'Auftragsänderungen &amp; -ergänzung'!I60,0)</f>
        <v>0</v>
      </c>
      <c r="G61" s="155">
        <f>IF($G$52='Auftragsänderungen &amp; -ergänzung'!K60,'Auftragsänderungen &amp; -ergänzung'!I60,0)</f>
        <v>0</v>
      </c>
      <c r="H61" s="155">
        <f>IF($H$52='Auftragsänderungen &amp; -ergänzung'!K60,'Auftragsänderungen &amp; -ergänzung'!I60,0)</f>
        <v>0</v>
      </c>
      <c r="I61" s="155">
        <f>IF($I$52='Auftragsänderungen &amp; -ergänzung'!K60,'Auftragsänderungen &amp; -ergänzung'!I60,0)</f>
        <v>0</v>
      </c>
      <c r="J61" s="155">
        <f>IF(J52='Auftragsänderungen &amp; -ergänzung'!$K$60,'Auftragsänderungen &amp; -ergänzung'!$I$60,0)</f>
        <v>0</v>
      </c>
      <c r="K61" s="156">
        <f>IF(K52='Auftragsänderungen &amp; -ergänzung'!$K$60,'Auftragsänderungen &amp; -ergänzung'!$I$60,0)</f>
        <v>0</v>
      </c>
      <c r="T61" s="4"/>
      <c r="U61" s="3"/>
      <c r="V61" s="5"/>
    </row>
    <row r="62" spans="2:22" ht="14.55" x14ac:dyDescent="0.3">
      <c r="C62" s="154">
        <f>IF($C$52='Auftragsänderungen &amp; -ergänzung'!K62,'Auftragsänderungen &amp; -ergänzung'!I62,0)</f>
        <v>0</v>
      </c>
      <c r="D62" s="155">
        <f>IF($D$52='Auftragsänderungen &amp; -ergänzung'!K62,'Auftragsänderungen &amp; -ergänzung'!I62,0)</f>
        <v>0</v>
      </c>
      <c r="E62" s="155">
        <f>IF($E$52='Auftragsänderungen &amp; -ergänzung'!K62,'Auftragsänderungen &amp; -ergänzung'!I62,0)</f>
        <v>0</v>
      </c>
      <c r="F62" s="155">
        <f>IF($F$52='Auftragsänderungen &amp; -ergänzung'!K62,'Auftragsänderungen &amp; -ergänzung'!I62,0)</f>
        <v>0</v>
      </c>
      <c r="G62" s="155">
        <f>IF($G$52='Auftragsänderungen &amp; -ergänzung'!K62,'Auftragsänderungen &amp; -ergänzung'!I62,0)</f>
        <v>0</v>
      </c>
      <c r="H62" s="155">
        <f>IF($H$52='Auftragsänderungen &amp; -ergänzung'!K62,'Auftragsänderungen &amp; -ergänzung'!I62,0)</f>
        <v>0</v>
      </c>
      <c r="I62" s="155">
        <f>IF($I$52='Auftragsänderungen &amp; -ergänzung'!K62,'Auftragsänderungen &amp; -ergänzung'!I62,0)</f>
        <v>0</v>
      </c>
      <c r="J62" s="155">
        <f>IF(J52='Auftragsänderungen &amp; -ergänzung'!$K$62,'Auftragsänderungen &amp; -ergänzung'!$I$62,0)</f>
        <v>0</v>
      </c>
      <c r="K62" s="156">
        <f>IF(K52='Auftragsänderungen &amp; -ergänzung'!$K$62,'Auftragsänderungen &amp; -ergänzung'!$I$62,0)</f>
        <v>0</v>
      </c>
      <c r="T62" s="4"/>
      <c r="U62" s="3"/>
      <c r="V62" s="5"/>
    </row>
    <row r="63" spans="2:22" ht="14.55" x14ac:dyDescent="0.3">
      <c r="C63" s="154">
        <f>IF($C$52='Auftragsänderungen &amp; -ergänzung'!K64,'Auftragsänderungen &amp; -ergänzung'!I64,0)</f>
        <v>0</v>
      </c>
      <c r="D63" s="155">
        <f>IF($D$52='Auftragsänderungen &amp; -ergänzung'!K64,'Auftragsänderungen &amp; -ergänzung'!I64,0)</f>
        <v>0</v>
      </c>
      <c r="E63" s="155">
        <f>IF($E$52='Auftragsänderungen &amp; -ergänzung'!K64,'Auftragsänderungen &amp; -ergänzung'!I64,0)</f>
        <v>0</v>
      </c>
      <c r="F63" s="155">
        <f>IF($F$52='Auftragsänderungen &amp; -ergänzung'!K64,'Auftragsänderungen &amp; -ergänzung'!I64,0)</f>
        <v>0</v>
      </c>
      <c r="G63" s="155">
        <f>IF($G$52='Auftragsänderungen &amp; -ergänzung'!K64,'Auftragsänderungen &amp; -ergänzung'!I64,0)</f>
        <v>0</v>
      </c>
      <c r="H63" s="155">
        <f>IF($H$52='Auftragsänderungen &amp; -ergänzung'!K64,'Auftragsänderungen &amp; -ergänzung'!I64,0)</f>
        <v>0</v>
      </c>
      <c r="I63" s="155">
        <f>IF($I$52='Auftragsänderungen &amp; -ergänzung'!K64,'Auftragsänderungen &amp; -ergänzung'!I64,0)</f>
        <v>0</v>
      </c>
      <c r="J63" s="155">
        <f>IF(J52='Auftragsänderungen &amp; -ergänzung'!$K$64,'Auftragsänderungen &amp; -ergänzung'!$I$64,0)</f>
        <v>0</v>
      </c>
      <c r="K63" s="156">
        <f>IF(K52='Auftragsänderungen &amp; -ergänzung'!$K$64,'Auftragsänderungen &amp; -ergänzung'!$I$64,0)</f>
        <v>0</v>
      </c>
      <c r="T63" s="4"/>
      <c r="U63" s="3"/>
      <c r="V63" s="5"/>
    </row>
    <row r="64" spans="2:22" ht="14.55" x14ac:dyDescent="0.3">
      <c r="C64" s="154">
        <f>IF($C$52='Auftragsänderungen &amp; -ergänzung'!K66,'Auftragsänderungen &amp; -ergänzung'!I66,0)</f>
        <v>0</v>
      </c>
      <c r="D64" s="155">
        <f>IF($D$52='Auftragsänderungen &amp; -ergänzung'!K66,'Auftragsänderungen &amp; -ergänzung'!I66,0)</f>
        <v>0</v>
      </c>
      <c r="E64" s="155">
        <f>IF($E$52='Auftragsänderungen &amp; -ergänzung'!K66,'Auftragsänderungen &amp; -ergänzung'!I66,0)</f>
        <v>0</v>
      </c>
      <c r="F64" s="155">
        <f>IF($F$52='Auftragsänderungen &amp; -ergänzung'!K66,'Auftragsänderungen &amp; -ergänzung'!I66,0)</f>
        <v>0</v>
      </c>
      <c r="G64" s="155">
        <f>IF($G$52='Auftragsänderungen &amp; -ergänzung'!K66,'Auftragsänderungen &amp; -ergänzung'!I66,0)</f>
        <v>0</v>
      </c>
      <c r="H64" s="155">
        <f>IF($H$52='Auftragsänderungen &amp; -ergänzung'!K66,'Auftragsänderungen &amp; -ergänzung'!I66,0)</f>
        <v>0</v>
      </c>
      <c r="I64" s="155">
        <f>IF($I$52='Auftragsänderungen &amp; -ergänzung'!K66,'Auftragsänderungen &amp; -ergänzung'!I66,0)</f>
        <v>0</v>
      </c>
      <c r="J64" s="155">
        <f>IF(J52='Auftragsänderungen &amp; -ergänzung'!$K$66,'Auftragsänderungen &amp; -ergänzung'!$I$66,0)</f>
        <v>0</v>
      </c>
      <c r="K64" s="156">
        <f>IF(K52='Auftragsänderungen &amp; -ergänzung'!$K$66,'Auftragsänderungen &amp; -ergänzung'!$I$66,0)</f>
        <v>0</v>
      </c>
      <c r="T64" s="4"/>
      <c r="U64" s="3"/>
      <c r="V64" s="6"/>
    </row>
    <row r="65" spans="1:22" ht="14.55" x14ac:dyDescent="0.3">
      <c r="C65" s="154">
        <f>IF($C$52='Auftragsänderungen &amp; -ergänzung'!K68,'Auftragsänderungen &amp; -ergänzung'!I68,0)</f>
        <v>0</v>
      </c>
      <c r="D65" s="155">
        <f>IF($D$52='Auftragsänderungen &amp; -ergänzung'!K68,'Auftragsänderungen &amp; -ergänzung'!I68,0)</f>
        <v>0</v>
      </c>
      <c r="E65" s="155">
        <f>IF($E$52='Auftragsänderungen &amp; -ergänzung'!K68,'Auftragsänderungen &amp; -ergänzung'!I68,0)</f>
        <v>0</v>
      </c>
      <c r="F65" s="155">
        <f>IF($F$52='Auftragsänderungen &amp; -ergänzung'!K68,'Auftragsänderungen &amp; -ergänzung'!I68,0)</f>
        <v>0</v>
      </c>
      <c r="G65" s="155">
        <f>IF($G$52='Auftragsänderungen &amp; -ergänzung'!K68,'Auftragsänderungen &amp; -ergänzung'!I68,0)</f>
        <v>0</v>
      </c>
      <c r="H65" s="155">
        <f>IF($H$52='Auftragsänderungen &amp; -ergänzung'!K68,'Auftragsänderungen &amp; -ergänzung'!I68,0)</f>
        <v>0</v>
      </c>
      <c r="I65" s="155">
        <f>IF($I$52='Auftragsänderungen &amp; -ergänzung'!K68,'Auftragsänderungen &amp; -ergänzung'!I68,0)</f>
        <v>0</v>
      </c>
      <c r="J65" s="155">
        <f>IF(J52='Auftragsänderungen &amp; -ergänzung'!$K$68,'Auftragsänderungen &amp; -ergänzung'!$I$68,0)</f>
        <v>0</v>
      </c>
      <c r="K65" s="156">
        <f>IF(K52='Auftragsänderungen &amp; -ergänzung'!$K$68,'Auftragsänderungen &amp; -ergänzung'!$I$68,0)</f>
        <v>0</v>
      </c>
      <c r="T65" s="4"/>
      <c r="U65" s="3"/>
      <c r="V65" s="5"/>
    </row>
    <row r="66" spans="1:22" ht="14.55" x14ac:dyDescent="0.3">
      <c r="C66" s="154">
        <f>IF($C$52='Auftragsänderungen &amp; -ergänzung'!K70,'Auftragsänderungen &amp; -ergänzung'!I70,0)</f>
        <v>0</v>
      </c>
      <c r="D66" s="155">
        <f>IF($D$52='Auftragsänderungen &amp; -ergänzung'!K70,'Auftragsänderungen &amp; -ergänzung'!I70,0)</f>
        <v>0</v>
      </c>
      <c r="E66" s="155">
        <f>IF($E$52='Auftragsänderungen &amp; -ergänzung'!K70,'Auftragsänderungen &amp; -ergänzung'!I70,0)</f>
        <v>0</v>
      </c>
      <c r="F66" s="155">
        <f>IF($F$52='Auftragsänderungen &amp; -ergänzung'!K70,'Auftragsänderungen &amp; -ergänzung'!I70,0)</f>
        <v>0</v>
      </c>
      <c r="G66" s="155">
        <f>IF($G$52='Auftragsänderungen &amp; -ergänzung'!K70,'Auftragsänderungen &amp; -ergänzung'!I70,0)</f>
        <v>0</v>
      </c>
      <c r="H66" s="155">
        <f>IF($H$52='Auftragsänderungen &amp; -ergänzung'!K70,'Auftragsänderungen &amp; -ergänzung'!I70,0)</f>
        <v>0</v>
      </c>
      <c r="I66" s="155">
        <f>IF($I$52='Auftragsänderungen &amp; -ergänzung'!K70,'Auftragsänderungen &amp; -ergänzung'!I70,0)</f>
        <v>0</v>
      </c>
      <c r="J66" s="155">
        <f>IF(J52='Auftragsänderungen &amp; -ergänzung'!$K$70,'Auftragsänderungen &amp; -ergänzung'!$I$70,0)</f>
        <v>0</v>
      </c>
      <c r="K66" s="156">
        <f>IF(K52='Auftragsänderungen &amp; -ergänzung'!$K$70,'Auftragsänderungen &amp; -ergänzung'!$I$70,0)</f>
        <v>0</v>
      </c>
      <c r="T66" s="4"/>
      <c r="U66" s="3"/>
      <c r="V66" s="5"/>
    </row>
    <row r="67" spans="1:22" ht="14.55" x14ac:dyDescent="0.3">
      <c r="C67" s="154">
        <f>IF($C$52='Auftragsänderungen &amp; -ergänzung'!K72,'Auftragsänderungen &amp; -ergänzung'!I72,0)</f>
        <v>0</v>
      </c>
      <c r="D67" s="155">
        <f>IF($D$52='Auftragsänderungen &amp; -ergänzung'!K72,'Auftragsänderungen &amp; -ergänzung'!I72,0)</f>
        <v>0</v>
      </c>
      <c r="E67" s="155">
        <f>IF($E$52='Auftragsänderungen &amp; -ergänzung'!K72,'Auftragsänderungen &amp; -ergänzung'!I72,0)</f>
        <v>0</v>
      </c>
      <c r="F67" s="155">
        <f>IF($F$52='Auftragsänderungen &amp; -ergänzung'!K72,'Auftragsänderungen &amp; -ergänzung'!I72,0)</f>
        <v>0</v>
      </c>
      <c r="G67" s="155">
        <f>IF($G$52='Auftragsänderungen &amp; -ergänzung'!K72,'Auftragsänderungen &amp; -ergänzung'!I72,0)</f>
        <v>0</v>
      </c>
      <c r="H67" s="155">
        <f>IF($H$52='Auftragsänderungen &amp; -ergänzung'!K72,'Auftragsänderungen &amp; -ergänzung'!I72,0)</f>
        <v>0</v>
      </c>
      <c r="I67" s="155">
        <f>IF($I$52='Auftragsänderungen &amp; -ergänzung'!K72,'Auftragsänderungen &amp; -ergänzung'!I72,0)</f>
        <v>0</v>
      </c>
      <c r="J67" s="155">
        <f>IF(J52='Auftragsänderungen &amp; -ergänzung'!$K$72,'Auftragsänderungen &amp; -ergänzung'!$I$72,0)</f>
        <v>0</v>
      </c>
      <c r="K67" s="156">
        <f>IF(K52='Auftragsänderungen &amp; -ergänzung'!$K$72,'Auftragsänderungen &amp; -ergänzung'!$I$72,0)</f>
        <v>0</v>
      </c>
      <c r="T67" s="4"/>
      <c r="U67" s="3"/>
      <c r="V67" s="5"/>
    </row>
    <row r="68" spans="1:22" ht="15.2" thickBot="1" x14ac:dyDescent="0.35">
      <c r="C68" s="283">
        <f>IF($C$52='Auftragsänderungen &amp; -ergänzung'!K74,'Auftragsänderungen &amp; -ergänzung'!I74,0)</f>
        <v>0</v>
      </c>
      <c r="D68" s="284">
        <f>IF($D$52='Auftragsänderungen &amp; -ergänzung'!K74,'Auftragsänderungen &amp; -ergänzung'!I74,0)</f>
        <v>0</v>
      </c>
      <c r="E68" s="284">
        <f>IF($E$52='Auftragsänderungen &amp; -ergänzung'!K74,'Auftragsänderungen &amp; -ergänzung'!I74,0)</f>
        <v>0</v>
      </c>
      <c r="F68" s="284">
        <f>IF($F$52='Auftragsänderungen &amp; -ergänzung'!K74,'Auftragsänderungen &amp; -ergänzung'!I74,0)</f>
        <v>0</v>
      </c>
      <c r="G68" s="284">
        <f>IF($G$52='Auftragsänderungen &amp; -ergänzung'!K74,'Auftragsänderungen &amp; -ergänzung'!I74,0)</f>
        <v>0</v>
      </c>
      <c r="H68" s="284">
        <f>IF($H$52='Auftragsänderungen &amp; -ergänzung'!K74,'Auftragsänderungen &amp; -ergänzung'!I74,0)</f>
        <v>0</v>
      </c>
      <c r="I68" s="284">
        <f>IF($I$52='Auftragsänderungen &amp; -ergänzung'!K74,'Auftragsänderungen &amp; -ergänzung'!I74,0)</f>
        <v>0</v>
      </c>
      <c r="J68" s="284">
        <f>IF(J52='Auftragsänderungen &amp; -ergänzung'!$K$74,'Auftragsänderungen &amp; -ergänzung'!$I$74,0)</f>
        <v>0</v>
      </c>
      <c r="K68" s="285">
        <f>IF(K52='Auftragsänderungen &amp; -ergänzung'!$K$74,'Auftragsänderungen &amp; -ergänzung'!$I$74,0)</f>
        <v>0</v>
      </c>
      <c r="T68" s="4"/>
      <c r="U68" s="3"/>
      <c r="V68" s="5"/>
    </row>
    <row r="69" spans="1:22" ht="15.2" thickBot="1" x14ac:dyDescent="0.35">
      <c r="C69" s="160">
        <f>SUM(C53:C68)</f>
        <v>0</v>
      </c>
      <c r="D69" s="286">
        <f t="shared" ref="D69:K69" si="3">SUM(D53:D68)</f>
        <v>0</v>
      </c>
      <c r="E69" s="286">
        <f t="shared" si="3"/>
        <v>0</v>
      </c>
      <c r="F69" s="286">
        <f t="shared" si="3"/>
        <v>0</v>
      </c>
      <c r="G69" s="286">
        <f t="shared" si="3"/>
        <v>0</v>
      </c>
      <c r="H69" s="286">
        <f t="shared" si="3"/>
        <v>0</v>
      </c>
      <c r="I69" s="286">
        <f t="shared" si="3"/>
        <v>0</v>
      </c>
      <c r="J69" s="286">
        <f t="shared" si="3"/>
        <v>0</v>
      </c>
      <c r="K69" s="287">
        <f t="shared" si="3"/>
        <v>0</v>
      </c>
      <c r="T69" s="4"/>
      <c r="U69" s="3"/>
      <c r="V69" s="5"/>
    </row>
    <row r="70" spans="1:22" ht="14.55" x14ac:dyDescent="0.3">
      <c r="C70" s="166"/>
      <c r="D70" s="166"/>
      <c r="E70" s="166"/>
      <c r="F70" s="166"/>
      <c r="G70" s="166"/>
      <c r="H70" s="166"/>
      <c r="I70" s="166"/>
      <c r="J70" s="166"/>
      <c r="T70" s="4"/>
      <c r="U70" s="3"/>
      <c r="V70" s="5"/>
    </row>
    <row r="71" spans="1:22" ht="14.55" x14ac:dyDescent="0.3">
      <c r="C71" s="200">
        <v>1</v>
      </c>
      <c r="D71" s="200">
        <v>2</v>
      </c>
      <c r="E71" s="200">
        <v>3</v>
      </c>
      <c r="F71" s="200">
        <v>4</v>
      </c>
      <c r="G71" s="200">
        <v>5</v>
      </c>
      <c r="H71" s="200">
        <v>6</v>
      </c>
      <c r="I71" s="200">
        <v>7</v>
      </c>
      <c r="J71" s="200">
        <v>8</v>
      </c>
      <c r="L71" s="1" t="s">
        <v>677</v>
      </c>
      <c r="M71" s="1" t="s">
        <v>678</v>
      </c>
      <c r="T71" s="4"/>
      <c r="U71" s="3"/>
      <c r="V71" s="5"/>
    </row>
    <row r="72" spans="1:22" ht="14.55" x14ac:dyDescent="0.3">
      <c r="A72" s="1677" t="s">
        <v>644</v>
      </c>
      <c r="B72" s="1677"/>
      <c r="C72" s="175">
        <f t="shared" ref="C72:K72" si="4">C70+C48+C69</f>
        <v>0</v>
      </c>
      <c r="D72" s="175">
        <f t="shared" si="4"/>
        <v>0</v>
      </c>
      <c r="E72" s="175">
        <f t="shared" si="4"/>
        <v>0</v>
      </c>
      <c r="F72" s="175">
        <f t="shared" si="4"/>
        <v>0</v>
      </c>
      <c r="G72" s="175">
        <f t="shared" si="4"/>
        <v>0</v>
      </c>
      <c r="H72" s="175">
        <f t="shared" si="4"/>
        <v>0</v>
      </c>
      <c r="I72" s="175">
        <f t="shared" si="4"/>
        <v>0</v>
      </c>
      <c r="J72" s="175">
        <f t="shared" si="4"/>
        <v>0</v>
      </c>
      <c r="K72" s="175">
        <f t="shared" si="4"/>
        <v>0</v>
      </c>
      <c r="L72" s="1">
        <v>1</v>
      </c>
      <c r="M72" s="48">
        <f>C72</f>
        <v>0</v>
      </c>
      <c r="T72" s="4"/>
      <c r="U72" s="3"/>
      <c r="V72" s="5"/>
    </row>
    <row r="73" spans="1:22" ht="14.55" x14ac:dyDescent="0.3">
      <c r="C73" s="166"/>
      <c r="D73" s="166"/>
      <c r="E73" s="166"/>
      <c r="F73" s="166"/>
      <c r="G73" s="166"/>
      <c r="H73" s="166"/>
      <c r="I73" s="166"/>
      <c r="J73" s="166"/>
      <c r="L73" s="1">
        <v>2</v>
      </c>
      <c r="M73" s="48">
        <f>D72</f>
        <v>0</v>
      </c>
      <c r="T73" s="4"/>
      <c r="U73" s="3"/>
      <c r="V73" s="5"/>
    </row>
    <row r="74" spans="1:22" ht="14.55" x14ac:dyDescent="0.3">
      <c r="C74" s="166"/>
      <c r="D74" s="166"/>
      <c r="E74" s="166"/>
      <c r="F74" s="166"/>
      <c r="G74" s="166"/>
      <c r="H74" s="166"/>
      <c r="I74" s="166"/>
      <c r="J74" s="166"/>
      <c r="L74" s="1">
        <v>3</v>
      </c>
      <c r="M74" s="48">
        <f>E72</f>
        <v>0</v>
      </c>
      <c r="T74" s="4"/>
      <c r="U74" s="3"/>
      <c r="V74" s="5"/>
    </row>
    <row r="75" spans="1:22" ht="14.55" x14ac:dyDescent="0.3">
      <c r="C75" s="166"/>
      <c r="D75" s="166"/>
      <c r="E75" s="166"/>
      <c r="F75" s="166"/>
      <c r="G75" s="166"/>
      <c r="H75" s="166"/>
      <c r="I75" s="166"/>
      <c r="J75" s="166"/>
      <c r="L75" s="1">
        <v>4</v>
      </c>
      <c r="M75" s="48">
        <f>F72</f>
        <v>0</v>
      </c>
      <c r="T75" s="4"/>
      <c r="U75" s="3"/>
      <c r="V75" s="5"/>
    </row>
    <row r="76" spans="1:22" ht="14.55" x14ac:dyDescent="0.3">
      <c r="C76" s="166"/>
      <c r="D76" s="166"/>
      <c r="E76" s="166"/>
      <c r="F76" s="166"/>
      <c r="G76" s="166"/>
      <c r="H76" s="166"/>
      <c r="I76" s="166"/>
      <c r="J76" s="166"/>
      <c r="L76" s="1">
        <v>5</v>
      </c>
      <c r="M76" s="48">
        <f>G72</f>
        <v>0</v>
      </c>
      <c r="T76" s="4"/>
      <c r="U76" s="3"/>
      <c r="V76" s="5"/>
    </row>
    <row r="77" spans="1:22" ht="14.55" x14ac:dyDescent="0.3">
      <c r="C77" s="166"/>
      <c r="D77" s="166"/>
      <c r="E77" s="166"/>
      <c r="F77" s="166"/>
      <c r="G77" s="166"/>
      <c r="H77" s="166"/>
      <c r="I77" s="166"/>
      <c r="J77" s="166"/>
      <c r="L77" s="1">
        <v>6</v>
      </c>
      <c r="M77" s="48">
        <f>H72</f>
        <v>0</v>
      </c>
      <c r="T77" s="4"/>
      <c r="U77" s="3"/>
      <c r="V77" s="5"/>
    </row>
    <row r="78" spans="1:22" ht="14.55" x14ac:dyDescent="0.3">
      <c r="C78" s="166"/>
      <c r="D78" s="166"/>
      <c r="E78" s="166"/>
      <c r="F78" s="166"/>
      <c r="G78" s="166"/>
      <c r="H78" s="166"/>
      <c r="I78" s="166"/>
      <c r="J78" s="166"/>
      <c r="L78" s="1">
        <v>7</v>
      </c>
      <c r="M78" s="48">
        <f>I72</f>
        <v>0</v>
      </c>
      <c r="T78" s="4"/>
      <c r="U78" s="3"/>
      <c r="V78" s="5"/>
    </row>
    <row r="79" spans="1:22" ht="14.55" x14ac:dyDescent="0.3">
      <c r="C79" s="166"/>
      <c r="D79" s="166"/>
      <c r="E79" s="166"/>
      <c r="F79" s="166"/>
      <c r="G79" s="166"/>
      <c r="H79" s="166"/>
      <c r="I79" s="166"/>
      <c r="J79" s="166"/>
      <c r="L79" s="1">
        <v>8</v>
      </c>
      <c r="M79" s="48">
        <f>J72</f>
        <v>0</v>
      </c>
      <c r="T79" s="4"/>
      <c r="U79" s="3"/>
      <c r="V79" s="5"/>
    </row>
    <row r="80" spans="1:22" ht="14.55" x14ac:dyDescent="0.3">
      <c r="C80" s="166"/>
      <c r="D80" s="166"/>
      <c r="E80" s="166"/>
      <c r="F80" s="166"/>
      <c r="G80" s="166"/>
      <c r="H80" s="166"/>
      <c r="I80" s="166"/>
      <c r="J80" s="166"/>
      <c r="L80" s="1">
        <v>9</v>
      </c>
      <c r="M80" s="48">
        <f>K72</f>
        <v>0</v>
      </c>
      <c r="T80" s="4"/>
      <c r="U80" s="3"/>
      <c r="V80" s="5"/>
    </row>
    <row r="81" spans="3:22" ht="14.55" x14ac:dyDescent="0.3">
      <c r="C81" s="166"/>
      <c r="D81" s="166"/>
      <c r="E81" s="166"/>
      <c r="F81" s="166"/>
      <c r="G81" s="166"/>
      <c r="H81" s="166"/>
      <c r="I81" s="166"/>
      <c r="J81" s="166"/>
      <c r="M81" s="48">
        <f>SUM(M72:M79)</f>
        <v>0</v>
      </c>
      <c r="T81" s="4"/>
      <c r="U81" s="3"/>
      <c r="V81" s="5"/>
    </row>
    <row r="82" spans="3:22" ht="14.55" x14ac:dyDescent="0.3">
      <c r="C82" s="166"/>
      <c r="D82" s="166"/>
      <c r="E82" s="166"/>
      <c r="F82" s="166"/>
      <c r="G82" s="166"/>
      <c r="H82" s="166"/>
      <c r="I82" s="166"/>
      <c r="J82" s="166"/>
      <c r="T82" s="4"/>
      <c r="U82" s="3"/>
      <c r="V82" s="5"/>
    </row>
    <row r="83" spans="3:22" ht="14.55" x14ac:dyDescent="0.3">
      <c r="C83" s="166"/>
      <c r="D83" s="166"/>
      <c r="E83" s="166"/>
      <c r="F83" s="166"/>
      <c r="G83" s="166"/>
      <c r="H83" s="166"/>
      <c r="I83" s="166"/>
      <c r="J83" s="166"/>
      <c r="T83" s="4"/>
      <c r="U83" s="3"/>
      <c r="V83" s="5"/>
    </row>
    <row r="84" spans="3:22" ht="14.55" x14ac:dyDescent="0.3">
      <c r="C84" s="166"/>
      <c r="D84" s="166"/>
      <c r="E84" s="166"/>
      <c r="F84" s="166"/>
      <c r="G84" s="166"/>
      <c r="H84" s="166"/>
      <c r="I84" s="166"/>
      <c r="J84" s="166"/>
      <c r="T84" s="4"/>
      <c r="U84" s="3"/>
      <c r="V84" s="5"/>
    </row>
    <row r="85" spans="3:22" ht="14.55" x14ac:dyDescent="0.3">
      <c r="C85" s="166"/>
      <c r="D85" s="166"/>
      <c r="E85" s="166"/>
      <c r="F85" s="166"/>
      <c r="G85" s="166"/>
      <c r="H85" s="166"/>
      <c r="I85" s="166"/>
      <c r="J85" s="166"/>
      <c r="T85" s="4"/>
      <c r="U85" s="3"/>
      <c r="V85" s="5"/>
    </row>
    <row r="86" spans="3:22" ht="14.55" x14ac:dyDescent="0.3">
      <c r="C86" s="166"/>
      <c r="D86" s="166"/>
      <c r="E86" s="166"/>
      <c r="F86" s="166"/>
      <c r="G86" s="166"/>
      <c r="H86" s="166"/>
      <c r="I86" s="166"/>
      <c r="J86" s="166"/>
      <c r="T86" s="4"/>
      <c r="U86" s="3"/>
      <c r="V86" s="5"/>
    </row>
    <row r="87" spans="3:22" ht="14.55" x14ac:dyDescent="0.3">
      <c r="C87" s="166"/>
      <c r="D87" s="166"/>
      <c r="E87" s="166"/>
      <c r="F87" s="166"/>
      <c r="G87" s="166"/>
      <c r="H87" s="166"/>
      <c r="I87" s="166"/>
      <c r="J87" s="166"/>
      <c r="T87" s="4"/>
      <c r="U87" s="3"/>
      <c r="V87" s="5"/>
    </row>
    <row r="88" spans="3:22" ht="14.55" x14ac:dyDescent="0.3">
      <c r="T88" s="4"/>
      <c r="U88" s="3"/>
      <c r="V88" s="5"/>
    </row>
    <row r="89" spans="3:22" ht="14.55" x14ac:dyDescent="0.3">
      <c r="T89" s="4"/>
      <c r="U89" s="3"/>
      <c r="V89" s="5"/>
    </row>
    <row r="90" spans="3:22" ht="14.55" x14ac:dyDescent="0.3">
      <c r="T90" s="4"/>
      <c r="U90" s="3"/>
      <c r="V90" s="5"/>
    </row>
    <row r="91" spans="3:22" ht="14.55" x14ac:dyDescent="0.3">
      <c r="T91" s="4"/>
      <c r="U91" s="3"/>
      <c r="V91" s="5"/>
    </row>
    <row r="92" spans="3:22" ht="14.55" x14ac:dyDescent="0.3">
      <c r="T92" s="4"/>
      <c r="U92" s="3"/>
      <c r="V92" s="5"/>
    </row>
    <row r="93" spans="3:22" ht="14.55" x14ac:dyDescent="0.3">
      <c r="T93" s="4"/>
      <c r="U93" s="3"/>
      <c r="V93" s="5"/>
    </row>
    <row r="94" spans="3:22" ht="14.55" x14ac:dyDescent="0.3">
      <c r="T94" s="4"/>
      <c r="U94" s="3"/>
      <c r="V94" s="5"/>
    </row>
    <row r="95" spans="3:22" ht="14.55" x14ac:dyDescent="0.3">
      <c r="T95" s="4"/>
      <c r="U95" s="3"/>
      <c r="V95" s="5"/>
    </row>
    <row r="96" spans="3:22" ht="14.55" x14ac:dyDescent="0.3">
      <c r="T96" s="4"/>
      <c r="U96" s="3"/>
      <c r="V96" s="5"/>
    </row>
    <row r="97" spans="3:22" ht="14.55" x14ac:dyDescent="0.3">
      <c r="T97" s="4"/>
      <c r="U97" s="3"/>
      <c r="V97" s="5"/>
    </row>
    <row r="98" spans="3:22" ht="14.55" x14ac:dyDescent="0.3">
      <c r="T98" s="4"/>
      <c r="U98" s="3"/>
      <c r="V98" s="5"/>
    </row>
    <row r="99" spans="3:22" ht="14.55" x14ac:dyDescent="0.3">
      <c r="T99" s="4"/>
      <c r="U99" s="3"/>
      <c r="V99" s="5"/>
    </row>
    <row r="100" spans="3:22" ht="14.55" x14ac:dyDescent="0.3">
      <c r="T100" s="4"/>
      <c r="U100" s="3"/>
      <c r="V100" s="5"/>
    </row>
    <row r="101" spans="3:22" ht="14.55" x14ac:dyDescent="0.3">
      <c r="T101" s="4"/>
      <c r="U101" s="3"/>
      <c r="V101" s="5"/>
    </row>
    <row r="102" spans="3:22" ht="14.55" x14ac:dyDescent="0.3">
      <c r="T102" s="4"/>
      <c r="U102" s="3"/>
      <c r="V102" s="5"/>
    </row>
    <row r="103" spans="3:22" ht="14.55" x14ac:dyDescent="0.3">
      <c r="T103" s="4"/>
      <c r="U103" s="3"/>
      <c r="V103" s="5"/>
    </row>
    <row r="104" spans="3:22" ht="14.55" x14ac:dyDescent="0.3">
      <c r="T104" s="4"/>
      <c r="U104" s="3"/>
      <c r="V104" s="5"/>
    </row>
    <row r="105" spans="3:22" ht="14.55" x14ac:dyDescent="0.3">
      <c r="T105" s="4"/>
      <c r="U105" s="3"/>
      <c r="V105" s="5"/>
    </row>
    <row r="106" spans="3:22" ht="14.55" x14ac:dyDescent="0.3">
      <c r="T106" s="4"/>
      <c r="U106" s="3"/>
      <c r="V106" s="5"/>
    </row>
    <row r="107" spans="3:22" ht="14.55" x14ac:dyDescent="0.3">
      <c r="T107" s="4"/>
      <c r="U107" s="3"/>
      <c r="V107" s="5"/>
    </row>
    <row r="108" spans="3:22" ht="14.55" x14ac:dyDescent="0.3">
      <c r="T108" s="4"/>
      <c r="U108" s="3"/>
      <c r="V108" s="5"/>
    </row>
    <row r="109" spans="3:22" ht="14.55" x14ac:dyDescent="0.3">
      <c r="T109" s="4"/>
      <c r="U109" s="3"/>
      <c r="V109" s="5"/>
    </row>
    <row r="110" spans="3:22" ht="14.55" x14ac:dyDescent="0.3">
      <c r="T110" s="4"/>
      <c r="U110" s="3"/>
      <c r="V110" s="5"/>
    </row>
    <row r="111" spans="3:22" ht="14.55" x14ac:dyDescent="0.3">
      <c r="T111" s="4"/>
      <c r="U111" s="3"/>
      <c r="V111" s="5"/>
    </row>
    <row r="112" spans="3:22" ht="14.55" x14ac:dyDescent="0.3">
      <c r="C112" s="48"/>
      <c r="D112" s="48"/>
      <c r="E112" s="48"/>
      <c r="F112" s="48"/>
      <c r="G112" s="48"/>
      <c r="H112" s="48"/>
      <c r="I112" s="48"/>
      <c r="J112" s="48"/>
      <c r="K112" s="48"/>
      <c r="L112" s="48"/>
      <c r="M112" s="48"/>
      <c r="N112" s="48"/>
      <c r="O112" s="48"/>
      <c r="P112" s="48"/>
      <c r="T112" s="4"/>
      <c r="U112" s="3"/>
      <c r="V112" s="5"/>
    </row>
    <row r="113" spans="3:22" ht="14.55" x14ac:dyDescent="0.3">
      <c r="C113" s="48"/>
      <c r="D113" s="48"/>
      <c r="E113" s="48"/>
      <c r="F113" s="48"/>
      <c r="G113" s="48"/>
      <c r="H113" s="48"/>
      <c r="I113" s="48"/>
      <c r="J113" s="48"/>
      <c r="K113" s="48"/>
      <c r="L113" s="48"/>
      <c r="M113" s="48"/>
      <c r="N113" s="48"/>
      <c r="O113" s="48"/>
      <c r="P113" s="48"/>
      <c r="T113" s="4"/>
      <c r="U113" s="3"/>
      <c r="V113" s="5"/>
    </row>
    <row r="114" spans="3:22" ht="14.55" x14ac:dyDescent="0.3">
      <c r="C114" s="48"/>
      <c r="D114" s="48"/>
      <c r="E114" s="48"/>
      <c r="F114" s="48"/>
      <c r="G114" s="48"/>
      <c r="H114" s="48"/>
      <c r="I114" s="48"/>
      <c r="J114" s="48"/>
      <c r="K114" s="48"/>
      <c r="L114" s="48"/>
      <c r="M114" s="48"/>
      <c r="N114" s="48"/>
      <c r="O114" s="48"/>
      <c r="P114" s="48"/>
      <c r="T114" s="4"/>
      <c r="U114" s="3"/>
      <c r="V114" s="5"/>
    </row>
    <row r="115" spans="3:22" ht="14.55" x14ac:dyDescent="0.3">
      <c r="C115" s="48"/>
      <c r="D115" s="48"/>
      <c r="E115" s="48"/>
      <c r="F115" s="48"/>
      <c r="G115" s="48"/>
      <c r="H115" s="48"/>
      <c r="I115" s="48"/>
      <c r="J115" s="48"/>
      <c r="K115" s="48"/>
      <c r="L115" s="48"/>
      <c r="M115" s="48"/>
      <c r="N115" s="48"/>
      <c r="O115" s="48"/>
      <c r="P115" s="48"/>
      <c r="T115" s="4"/>
      <c r="U115" s="3"/>
      <c r="V115" s="5"/>
    </row>
    <row r="116" spans="3:22" ht="14.55" x14ac:dyDescent="0.3">
      <c r="C116" s="48"/>
      <c r="D116" s="48"/>
      <c r="E116" s="48"/>
      <c r="F116" s="48"/>
      <c r="G116" s="48"/>
      <c r="H116" s="48"/>
      <c r="I116" s="48"/>
      <c r="J116" s="48"/>
      <c r="K116" s="48"/>
      <c r="L116" s="48"/>
      <c r="M116" s="48"/>
      <c r="N116" s="48"/>
      <c r="O116" s="48"/>
      <c r="P116" s="48"/>
      <c r="T116" s="4"/>
      <c r="U116" s="3"/>
      <c r="V116" s="5"/>
    </row>
    <row r="117" spans="3:22" ht="14.55" x14ac:dyDescent="0.3">
      <c r="C117" s="48"/>
      <c r="D117" s="48"/>
      <c r="E117" s="48"/>
      <c r="F117" s="48"/>
      <c r="G117" s="48"/>
      <c r="H117" s="48"/>
      <c r="I117" s="48"/>
      <c r="J117" s="48"/>
      <c r="K117" s="48"/>
      <c r="L117" s="48"/>
      <c r="M117" s="48"/>
      <c r="N117" s="48"/>
      <c r="O117" s="48"/>
      <c r="P117" s="48"/>
      <c r="T117" s="4"/>
      <c r="U117" s="3"/>
      <c r="V117" s="5"/>
    </row>
    <row r="118" spans="3:22" ht="14.55" x14ac:dyDescent="0.3">
      <c r="C118" s="48"/>
      <c r="D118" s="48"/>
      <c r="E118" s="48"/>
      <c r="F118" s="48"/>
      <c r="G118" s="48"/>
      <c r="H118" s="48"/>
      <c r="I118" s="48"/>
      <c r="J118" s="48"/>
      <c r="K118" s="48"/>
      <c r="L118" s="48"/>
      <c r="M118" s="48"/>
      <c r="N118" s="48"/>
      <c r="O118" s="48"/>
      <c r="P118" s="48"/>
      <c r="T118" s="4"/>
      <c r="U118" s="3"/>
      <c r="V118" s="5"/>
    </row>
    <row r="119" spans="3:22" ht="14.55" x14ac:dyDescent="0.3">
      <c r="C119" s="48"/>
      <c r="D119" s="48"/>
      <c r="E119" s="48"/>
      <c r="F119" s="48"/>
      <c r="G119" s="48"/>
      <c r="H119" s="48"/>
      <c r="I119" s="48"/>
      <c r="J119" s="48"/>
      <c r="K119" s="48"/>
      <c r="L119" s="48"/>
      <c r="M119" s="48"/>
      <c r="N119" s="48"/>
      <c r="O119" s="48"/>
      <c r="P119" s="48"/>
      <c r="T119" s="4"/>
      <c r="U119" s="3"/>
      <c r="V119" s="5"/>
    </row>
    <row r="120" spans="3:22" ht="14.55" x14ac:dyDescent="0.3">
      <c r="T120" s="4"/>
      <c r="U120" s="3"/>
      <c r="V120" s="5"/>
    </row>
    <row r="121" spans="3:22" ht="14.55" x14ac:dyDescent="0.3">
      <c r="T121" s="4"/>
      <c r="U121" s="3"/>
      <c r="V121" s="5"/>
    </row>
    <row r="122" spans="3:22" ht="14.55" x14ac:dyDescent="0.3">
      <c r="T122" s="4"/>
      <c r="U122" s="3"/>
      <c r="V122" s="5"/>
    </row>
    <row r="123" spans="3:22" ht="14.55" x14ac:dyDescent="0.3">
      <c r="T123" s="4"/>
      <c r="U123" s="3"/>
      <c r="V123" s="5"/>
    </row>
    <row r="124" spans="3:22" ht="14.55" x14ac:dyDescent="0.3">
      <c r="T124" s="4"/>
      <c r="U124" s="3"/>
      <c r="V124" s="5"/>
    </row>
    <row r="125" spans="3:22" ht="14.55" x14ac:dyDescent="0.3">
      <c r="T125" s="4"/>
      <c r="U125" s="3"/>
      <c r="V125" s="5"/>
    </row>
    <row r="126" spans="3:22" ht="14.55" x14ac:dyDescent="0.3">
      <c r="T126" s="4"/>
      <c r="U126" s="3"/>
      <c r="V126" s="5"/>
    </row>
    <row r="127" spans="3:22" ht="14.55" x14ac:dyDescent="0.3">
      <c r="T127" s="4"/>
      <c r="U127" s="3"/>
      <c r="V127" s="5"/>
    </row>
    <row r="128" spans="3:22" ht="14.55" x14ac:dyDescent="0.3">
      <c r="T128" s="4"/>
      <c r="U128" s="3"/>
      <c r="V128" s="5"/>
    </row>
    <row r="129" spans="20:22" ht="14.55" x14ac:dyDescent="0.3">
      <c r="T129" s="4"/>
      <c r="U129" s="3"/>
      <c r="V129" s="5"/>
    </row>
    <row r="130" spans="20:22" ht="14.55" x14ac:dyDescent="0.3">
      <c r="T130" s="4"/>
      <c r="U130" s="3"/>
      <c r="V130" s="5"/>
    </row>
    <row r="131" spans="20:22" ht="14.55" x14ac:dyDescent="0.3">
      <c r="T131" s="4"/>
      <c r="U131" s="3"/>
      <c r="V131" s="5"/>
    </row>
    <row r="132" spans="20:22" ht="14.55" x14ac:dyDescent="0.3">
      <c r="T132" s="4"/>
      <c r="U132" s="3"/>
      <c r="V132" s="5"/>
    </row>
    <row r="133" spans="20:22" ht="14.55" x14ac:dyDescent="0.3">
      <c r="T133" s="4"/>
      <c r="U133" s="3"/>
      <c r="V133" s="5"/>
    </row>
    <row r="134" spans="20:22" ht="14.55" x14ac:dyDescent="0.3">
      <c r="T134" s="4"/>
      <c r="U134" s="3"/>
      <c r="V134" s="5"/>
    </row>
    <row r="135" spans="20:22" ht="14.55" x14ac:dyDescent="0.3">
      <c r="T135" s="4"/>
      <c r="U135" s="3"/>
      <c r="V135" s="5"/>
    </row>
    <row r="136" spans="20:22" ht="14.55" x14ac:dyDescent="0.3">
      <c r="T136" s="4"/>
      <c r="U136" s="3"/>
      <c r="V136" s="5"/>
    </row>
    <row r="137" spans="20:22" ht="14.55" x14ac:dyDescent="0.3">
      <c r="T137" s="4"/>
      <c r="U137" s="3"/>
      <c r="V137" s="5"/>
    </row>
    <row r="138" spans="20:22" ht="14.55" x14ac:dyDescent="0.3">
      <c r="T138" s="4"/>
      <c r="U138" s="3"/>
      <c r="V138" s="5"/>
    </row>
    <row r="139" spans="20:22" ht="14.55" x14ac:dyDescent="0.3">
      <c r="T139" s="4"/>
      <c r="U139" s="3"/>
      <c r="V139" s="5"/>
    </row>
    <row r="140" spans="20:22" ht="14.55" x14ac:dyDescent="0.3">
      <c r="T140" s="4"/>
      <c r="U140" s="3"/>
      <c r="V140" s="5"/>
    </row>
    <row r="141" spans="20:22" ht="14.55" x14ac:dyDescent="0.3">
      <c r="T141" s="4"/>
      <c r="U141" s="3"/>
      <c r="V141" s="5"/>
    </row>
    <row r="142" spans="20:22" ht="14.55" x14ac:dyDescent="0.3">
      <c r="T142" s="4"/>
      <c r="U142" s="3"/>
      <c r="V142" s="5"/>
    </row>
    <row r="143" spans="20:22" ht="14.55" x14ac:dyDescent="0.3">
      <c r="T143" s="4"/>
      <c r="U143" s="3"/>
      <c r="V143" s="5"/>
    </row>
    <row r="144" spans="20:22" ht="14.55" x14ac:dyDescent="0.3">
      <c r="T144" s="4"/>
      <c r="U144" s="3"/>
      <c r="V144" s="5"/>
    </row>
    <row r="145" spans="20:22" ht="14.55" x14ac:dyDescent="0.3">
      <c r="T145" s="4"/>
      <c r="U145" s="3"/>
      <c r="V145" s="5"/>
    </row>
    <row r="146" spans="20:22" ht="14.55" x14ac:dyDescent="0.3">
      <c r="T146" s="4"/>
      <c r="U146" s="3"/>
      <c r="V146" s="5"/>
    </row>
    <row r="147" spans="20:22" ht="14.55" x14ac:dyDescent="0.3">
      <c r="T147" s="4"/>
      <c r="U147" s="3"/>
      <c r="V147" s="5"/>
    </row>
    <row r="148" spans="20:22" ht="14.55" x14ac:dyDescent="0.3">
      <c r="T148" s="4"/>
      <c r="U148" s="3"/>
      <c r="V148" s="5"/>
    </row>
    <row r="149" spans="20:22" ht="14.55" x14ac:dyDescent="0.3">
      <c r="T149" s="4"/>
      <c r="U149" s="3"/>
      <c r="V149" s="5"/>
    </row>
    <row r="150" spans="20:22" ht="14.55" x14ac:dyDescent="0.3">
      <c r="T150" s="4"/>
      <c r="U150" s="3"/>
      <c r="V150" s="5"/>
    </row>
    <row r="151" spans="20:22" ht="14.55" x14ac:dyDescent="0.3">
      <c r="T151" s="4"/>
      <c r="U151" s="3"/>
      <c r="V151" s="5"/>
    </row>
    <row r="152" spans="20:22" ht="14.55" x14ac:dyDescent="0.3">
      <c r="T152" s="4"/>
      <c r="U152" s="3"/>
      <c r="V152" s="5"/>
    </row>
    <row r="153" spans="20:22" ht="14.55" x14ac:dyDescent="0.3">
      <c r="T153" s="4"/>
      <c r="U153" s="3"/>
      <c r="V153" s="5"/>
    </row>
    <row r="154" spans="20:22" ht="14.55" x14ac:dyDescent="0.3">
      <c r="T154" s="4"/>
      <c r="U154" s="3"/>
      <c r="V154" s="5"/>
    </row>
    <row r="155" spans="20:22" ht="14.55" x14ac:dyDescent="0.3">
      <c r="T155" s="4"/>
      <c r="U155" s="3"/>
      <c r="V155" s="5"/>
    </row>
    <row r="156" spans="20:22" ht="14.55" x14ac:dyDescent="0.3">
      <c r="T156" s="4"/>
      <c r="U156" s="3"/>
      <c r="V156" s="5"/>
    </row>
    <row r="157" spans="20:22" ht="14.55" x14ac:dyDescent="0.3">
      <c r="T157" s="4"/>
      <c r="U157" s="3"/>
      <c r="V157" s="5"/>
    </row>
    <row r="158" spans="20:22" ht="14.55" x14ac:dyDescent="0.3">
      <c r="T158" s="4"/>
      <c r="U158" s="3"/>
      <c r="V158" s="5"/>
    </row>
    <row r="159" spans="20:22" ht="14.55" x14ac:dyDescent="0.3">
      <c r="T159" s="4"/>
      <c r="U159" s="3"/>
      <c r="V159" s="5"/>
    </row>
    <row r="160" spans="20:22" ht="14.55" x14ac:dyDescent="0.3">
      <c r="T160" s="4"/>
      <c r="U160" s="3"/>
      <c r="V160" s="5"/>
    </row>
    <row r="161" spans="20:22" ht="14.55" x14ac:dyDescent="0.3">
      <c r="T161" s="4"/>
      <c r="U161" s="3"/>
      <c r="V161" s="5"/>
    </row>
    <row r="162" spans="20:22" ht="14.55" x14ac:dyDescent="0.3">
      <c r="T162" s="4"/>
      <c r="U162" s="3"/>
      <c r="V162" s="5"/>
    </row>
    <row r="163" spans="20:22" ht="14.55" x14ac:dyDescent="0.3">
      <c r="T163" s="4"/>
      <c r="U163" s="3"/>
      <c r="V163" s="5"/>
    </row>
    <row r="164" spans="20:22" ht="14.55" x14ac:dyDescent="0.3">
      <c r="T164" s="4"/>
      <c r="U164" s="3"/>
      <c r="V164" s="5"/>
    </row>
    <row r="165" spans="20:22" ht="14.55" x14ac:dyDescent="0.3">
      <c r="T165" s="4"/>
      <c r="U165" s="3"/>
      <c r="V165" s="5"/>
    </row>
    <row r="166" spans="20:22" ht="14.55" x14ac:dyDescent="0.3">
      <c r="T166" s="4"/>
      <c r="U166" s="3"/>
      <c r="V166" s="5"/>
    </row>
    <row r="167" spans="20:22" ht="14.55" x14ac:dyDescent="0.3">
      <c r="T167" s="4"/>
      <c r="U167" s="3"/>
      <c r="V167" s="5"/>
    </row>
    <row r="168" spans="20:22" ht="14.55" x14ac:dyDescent="0.3">
      <c r="T168" s="4"/>
      <c r="U168" s="3"/>
      <c r="V168" s="5"/>
    </row>
    <row r="169" spans="20:22" ht="14.55" x14ac:dyDescent="0.3">
      <c r="T169" s="4"/>
      <c r="U169" s="3"/>
      <c r="V169" s="5"/>
    </row>
    <row r="170" spans="20:22" ht="14.55" x14ac:dyDescent="0.3">
      <c r="T170" s="4"/>
      <c r="U170" s="3"/>
      <c r="V170" s="5"/>
    </row>
    <row r="171" spans="20:22" ht="14.55" x14ac:dyDescent="0.3">
      <c r="T171" s="4"/>
      <c r="U171" s="3"/>
      <c r="V171" s="5"/>
    </row>
    <row r="172" spans="20:22" ht="14.55" x14ac:dyDescent="0.3">
      <c r="T172" s="4"/>
      <c r="U172" s="3"/>
      <c r="V172" s="5"/>
    </row>
    <row r="173" spans="20:22" ht="14.55" x14ac:dyDescent="0.3">
      <c r="T173" s="4"/>
      <c r="U173" s="3"/>
      <c r="V173" s="5"/>
    </row>
    <row r="174" spans="20:22" ht="14.55" x14ac:dyDescent="0.3">
      <c r="T174" s="4"/>
      <c r="U174" s="3"/>
      <c r="V174" s="5"/>
    </row>
    <row r="175" spans="20:22" ht="14.55" x14ac:dyDescent="0.3">
      <c r="T175" s="4"/>
      <c r="U175" s="3"/>
      <c r="V175" s="5"/>
    </row>
    <row r="176" spans="20:22" ht="14.55" x14ac:dyDescent="0.3">
      <c r="T176" s="4"/>
      <c r="U176" s="3"/>
      <c r="V176" s="5"/>
    </row>
    <row r="177" spans="20:22" ht="14.55" x14ac:dyDescent="0.3">
      <c r="T177" s="4"/>
      <c r="U177" s="3"/>
      <c r="V177" s="5"/>
    </row>
    <row r="178" spans="20:22" ht="14.55" x14ac:dyDescent="0.3">
      <c r="T178" s="4"/>
      <c r="U178" s="3"/>
      <c r="V178" s="5"/>
    </row>
    <row r="179" spans="20:22" ht="14.55" x14ac:dyDescent="0.3">
      <c r="T179" s="4"/>
      <c r="U179" s="3"/>
      <c r="V179" s="5"/>
    </row>
    <row r="180" spans="20:22" ht="14.55" x14ac:dyDescent="0.3">
      <c r="T180" s="4"/>
      <c r="U180" s="3"/>
      <c r="V180" s="5"/>
    </row>
    <row r="181" spans="20:22" ht="14.55" x14ac:dyDescent="0.3">
      <c r="T181" s="4"/>
      <c r="U181" s="3"/>
      <c r="V181" s="5"/>
    </row>
    <row r="182" spans="20:22" ht="14.55" x14ac:dyDescent="0.3">
      <c r="T182" s="4"/>
      <c r="U182" s="3"/>
      <c r="V182" s="5"/>
    </row>
    <row r="183" spans="20:22" ht="14.55" x14ac:dyDescent="0.3">
      <c r="T183" s="4"/>
      <c r="U183" s="3"/>
      <c r="V183" s="5"/>
    </row>
    <row r="184" spans="20:22" ht="14.55" x14ac:dyDescent="0.3">
      <c r="T184" s="4"/>
      <c r="U184" s="3"/>
      <c r="V184" s="5"/>
    </row>
    <row r="185" spans="20:22" ht="14.55" x14ac:dyDescent="0.3">
      <c r="T185" s="4"/>
      <c r="U185" s="3"/>
      <c r="V185" s="5"/>
    </row>
    <row r="186" spans="20:22" ht="14.55" x14ac:dyDescent="0.3">
      <c r="T186" s="4"/>
      <c r="U186" s="3"/>
      <c r="V186" s="5"/>
    </row>
    <row r="187" spans="20:22" ht="14.55" x14ac:dyDescent="0.3">
      <c r="T187" s="4"/>
      <c r="U187" s="3"/>
      <c r="V187" s="5"/>
    </row>
    <row r="188" spans="20:22" ht="14.55" x14ac:dyDescent="0.3">
      <c r="T188" s="4"/>
      <c r="U188" s="3"/>
      <c r="V188" s="5"/>
    </row>
    <row r="189" spans="20:22" ht="14.55" x14ac:dyDescent="0.3">
      <c r="T189" s="4"/>
      <c r="U189" s="3"/>
      <c r="V189" s="5"/>
    </row>
    <row r="190" spans="20:22" ht="14.55" x14ac:dyDescent="0.3">
      <c r="T190" s="4"/>
      <c r="U190" s="3"/>
      <c r="V190" s="5"/>
    </row>
    <row r="191" spans="20:22" ht="14.55" x14ac:dyDescent="0.3">
      <c r="T191" s="4"/>
      <c r="U191" s="3"/>
      <c r="V191" s="5"/>
    </row>
    <row r="192" spans="20:22" ht="14.55" x14ac:dyDescent="0.3">
      <c r="T192" s="4"/>
      <c r="U192" s="3"/>
      <c r="V192" s="5"/>
    </row>
    <row r="193" spans="20:22" ht="14.55" x14ac:dyDescent="0.3">
      <c r="T193" s="4"/>
      <c r="U193" s="3"/>
      <c r="V193" s="5"/>
    </row>
    <row r="194" spans="20:22" ht="14.55" x14ac:dyDescent="0.3">
      <c r="T194" s="4"/>
      <c r="U194" s="3"/>
      <c r="V194" s="5"/>
    </row>
    <row r="195" spans="20:22" ht="14.55" x14ac:dyDescent="0.3">
      <c r="T195" s="4"/>
      <c r="U195" s="3"/>
      <c r="V195" s="5"/>
    </row>
    <row r="196" spans="20:22" ht="14.55" x14ac:dyDescent="0.3">
      <c r="T196" s="4"/>
      <c r="U196" s="3"/>
      <c r="V196" s="5"/>
    </row>
    <row r="197" spans="20:22" ht="14.55" x14ac:dyDescent="0.3">
      <c r="T197" s="4"/>
      <c r="U197" s="3"/>
      <c r="V197" s="5"/>
    </row>
    <row r="198" spans="20:22" ht="14.55" x14ac:dyDescent="0.3">
      <c r="T198" s="4"/>
      <c r="U198" s="3"/>
      <c r="V198" s="5"/>
    </row>
    <row r="199" spans="20:22" ht="14.55" x14ac:dyDescent="0.3">
      <c r="T199" s="4"/>
      <c r="U199" s="3"/>
      <c r="V199" s="5"/>
    </row>
    <row r="200" spans="20:22" ht="14.55" x14ac:dyDescent="0.3">
      <c r="T200" s="4"/>
      <c r="U200" s="3"/>
      <c r="V200" s="5"/>
    </row>
    <row r="201" spans="20:22" ht="14.55" x14ac:dyDescent="0.3">
      <c r="T201" s="4"/>
      <c r="U201" s="3"/>
      <c r="V201" s="5"/>
    </row>
    <row r="202" spans="20:22" ht="14.55" x14ac:dyDescent="0.3">
      <c r="T202" s="4"/>
      <c r="U202" s="3"/>
      <c r="V202" s="5"/>
    </row>
    <row r="203" spans="20:22" ht="14.55" x14ac:dyDescent="0.3">
      <c r="T203" s="4"/>
      <c r="U203" s="3"/>
      <c r="V203" s="5"/>
    </row>
    <row r="204" spans="20:22" ht="14.55" x14ac:dyDescent="0.3">
      <c r="T204" s="4"/>
      <c r="U204" s="3"/>
      <c r="V204" s="5"/>
    </row>
    <row r="205" spans="20:22" ht="14.55" x14ac:dyDescent="0.3">
      <c r="T205" s="4"/>
      <c r="U205" s="3"/>
      <c r="V205" s="5"/>
    </row>
    <row r="206" spans="20:22" ht="14.55" x14ac:dyDescent="0.3">
      <c r="T206" s="4"/>
      <c r="U206" s="3"/>
      <c r="V206" s="5"/>
    </row>
    <row r="207" spans="20:22" ht="14.55" x14ac:dyDescent="0.3">
      <c r="T207" s="4"/>
      <c r="U207" s="3"/>
      <c r="V207" s="5"/>
    </row>
    <row r="208" spans="20:22" ht="14.55" x14ac:dyDescent="0.3">
      <c r="T208" s="4"/>
      <c r="U208" s="3"/>
      <c r="V208" s="5"/>
    </row>
    <row r="209" spans="20:22" ht="14.55" x14ac:dyDescent="0.3">
      <c r="T209" s="4"/>
      <c r="U209" s="3"/>
      <c r="V209" s="5"/>
    </row>
    <row r="210" spans="20:22" ht="14.55" x14ac:dyDescent="0.3">
      <c r="T210" s="4"/>
      <c r="U210" s="3"/>
      <c r="V210" s="5"/>
    </row>
    <row r="211" spans="20:22" ht="14.55" x14ac:dyDescent="0.3">
      <c r="T211" s="4"/>
      <c r="U211" s="3"/>
      <c r="V211" s="5"/>
    </row>
    <row r="212" spans="20:22" ht="14.55" x14ac:dyDescent="0.3">
      <c r="T212" s="4"/>
      <c r="U212" s="3"/>
      <c r="V212" s="5"/>
    </row>
    <row r="213" spans="20:22" ht="14.55" x14ac:dyDescent="0.3">
      <c r="T213" s="4"/>
      <c r="U213" s="3"/>
      <c r="V213" s="5"/>
    </row>
    <row r="214" spans="20:22" ht="14.55" x14ac:dyDescent="0.3">
      <c r="T214" s="4"/>
      <c r="U214" s="3"/>
      <c r="V214" s="5"/>
    </row>
    <row r="215" spans="20:22" ht="14.55" x14ac:dyDescent="0.3">
      <c r="T215" s="4"/>
      <c r="U215" s="3"/>
      <c r="V215" s="5"/>
    </row>
    <row r="216" spans="20:22" ht="14.55" x14ac:dyDescent="0.3">
      <c r="T216" s="4"/>
      <c r="U216" s="3"/>
      <c r="V216" s="5"/>
    </row>
    <row r="217" spans="20:22" ht="14.55" x14ac:dyDescent="0.3">
      <c r="T217" s="4"/>
      <c r="U217" s="3"/>
      <c r="V217" s="5"/>
    </row>
    <row r="218" spans="20:22" ht="14.55" x14ac:dyDescent="0.3">
      <c r="T218" s="4"/>
      <c r="U218" s="3"/>
      <c r="V218" s="5"/>
    </row>
    <row r="219" spans="20:22" ht="14.55" x14ac:dyDescent="0.3">
      <c r="T219" s="4"/>
      <c r="U219" s="3"/>
      <c r="V219" s="5"/>
    </row>
    <row r="220" spans="20:22" ht="14.55" x14ac:dyDescent="0.3">
      <c r="T220" s="4"/>
      <c r="U220" s="3"/>
      <c r="V220" s="5"/>
    </row>
    <row r="221" spans="20:22" ht="14.55" x14ac:dyDescent="0.3">
      <c r="T221" s="4"/>
      <c r="U221" s="3"/>
      <c r="V221" s="5"/>
    </row>
    <row r="222" spans="20:22" ht="14.55" x14ac:dyDescent="0.3">
      <c r="T222" s="4"/>
      <c r="U222" s="3"/>
      <c r="V222" s="5"/>
    </row>
    <row r="223" spans="20:22" ht="14.55" x14ac:dyDescent="0.3">
      <c r="T223" s="4"/>
      <c r="U223" s="3"/>
      <c r="V223" s="5"/>
    </row>
    <row r="224" spans="20:22" ht="14.55" x14ac:dyDescent="0.3">
      <c r="T224" s="4"/>
      <c r="U224" s="3"/>
      <c r="V224" s="5"/>
    </row>
    <row r="225" spans="20:22" ht="14.55" x14ac:dyDescent="0.3">
      <c r="T225" s="4"/>
      <c r="U225" s="3"/>
      <c r="V225" s="5"/>
    </row>
    <row r="226" spans="20:22" ht="14.55" x14ac:dyDescent="0.3">
      <c r="T226" s="4"/>
      <c r="U226" s="3"/>
      <c r="V226" s="5"/>
    </row>
    <row r="227" spans="20:22" ht="14.55" x14ac:dyDescent="0.3">
      <c r="T227" s="4"/>
      <c r="U227" s="3"/>
      <c r="V227" s="5"/>
    </row>
    <row r="228" spans="20:22" ht="14.55" x14ac:dyDescent="0.3">
      <c r="T228" s="4"/>
      <c r="U228" s="3"/>
      <c r="V228" s="5"/>
    </row>
    <row r="229" spans="20:22" ht="14.55" x14ac:dyDescent="0.3">
      <c r="T229" s="4"/>
      <c r="U229" s="3"/>
      <c r="V229" s="5"/>
    </row>
    <row r="230" spans="20:22" ht="14.55" x14ac:dyDescent="0.3">
      <c r="T230" s="4"/>
      <c r="U230" s="3"/>
      <c r="V230" s="5"/>
    </row>
    <row r="231" spans="20:22" ht="14.55" x14ac:dyDescent="0.3">
      <c r="T231" s="4"/>
      <c r="U231" s="3"/>
      <c r="V231" s="5"/>
    </row>
    <row r="232" spans="20:22" ht="14.55" x14ac:dyDescent="0.3">
      <c r="T232" s="4"/>
      <c r="U232" s="3"/>
      <c r="V232" s="5"/>
    </row>
    <row r="233" spans="20:22" ht="14.55" x14ac:dyDescent="0.3">
      <c r="T233" s="4"/>
      <c r="U233" s="3"/>
      <c r="V233" s="5"/>
    </row>
    <row r="234" spans="20:22" ht="14.55" x14ac:dyDescent="0.3">
      <c r="T234" s="4"/>
      <c r="U234" s="3"/>
      <c r="V234" s="5"/>
    </row>
    <row r="235" spans="20:22" ht="14.55" x14ac:dyDescent="0.3">
      <c r="T235" s="4"/>
      <c r="U235" s="3"/>
      <c r="V235" s="5"/>
    </row>
    <row r="236" spans="20:22" ht="14.55" x14ac:dyDescent="0.3">
      <c r="T236" s="4"/>
      <c r="U236" s="3"/>
      <c r="V236" s="5"/>
    </row>
    <row r="237" spans="20:22" ht="14.55" x14ac:dyDescent="0.3">
      <c r="T237" s="4"/>
      <c r="U237" s="3"/>
      <c r="V237" s="5"/>
    </row>
    <row r="238" spans="20:22" ht="14.55" x14ac:dyDescent="0.3">
      <c r="T238" s="4"/>
      <c r="U238" s="3"/>
      <c r="V238" s="5"/>
    </row>
    <row r="239" spans="20:22" ht="14.55" x14ac:dyDescent="0.3">
      <c r="T239" s="4"/>
      <c r="U239" s="3"/>
      <c r="V239" s="5"/>
    </row>
    <row r="240" spans="20:22" ht="14.55" x14ac:dyDescent="0.3">
      <c r="T240" s="4"/>
      <c r="U240" s="3"/>
      <c r="V240" s="5"/>
    </row>
    <row r="241" spans="20:22" ht="14.55" x14ac:dyDescent="0.3">
      <c r="T241" s="4"/>
      <c r="U241" s="3"/>
      <c r="V241" s="5"/>
    </row>
    <row r="242" spans="20:22" ht="14.55" x14ac:dyDescent="0.3">
      <c r="T242" s="4"/>
      <c r="U242" s="3"/>
      <c r="V242" s="5"/>
    </row>
    <row r="243" spans="20:22" ht="14.55" x14ac:dyDescent="0.3">
      <c r="T243" s="4"/>
      <c r="U243" s="3"/>
      <c r="V243" s="5"/>
    </row>
    <row r="244" spans="20:22" ht="14.55" x14ac:dyDescent="0.3">
      <c r="T244" s="4"/>
      <c r="U244" s="3"/>
      <c r="V244" s="5"/>
    </row>
    <row r="245" spans="20:22" ht="14.55" x14ac:dyDescent="0.3">
      <c r="T245" s="4"/>
      <c r="U245" s="3"/>
      <c r="V245" s="5"/>
    </row>
    <row r="246" spans="20:22" ht="14.55" x14ac:dyDescent="0.3">
      <c r="T246" s="4"/>
      <c r="U246" s="3"/>
      <c r="V246" s="5"/>
    </row>
    <row r="247" spans="20:22" ht="14.55" x14ac:dyDescent="0.3">
      <c r="T247" s="4"/>
      <c r="U247" s="3"/>
      <c r="V247" s="5"/>
    </row>
    <row r="248" spans="20:22" ht="14.55" x14ac:dyDescent="0.3">
      <c r="T248" s="4"/>
      <c r="U248" s="3"/>
      <c r="V248" s="5"/>
    </row>
    <row r="249" spans="20:22" ht="14.55" x14ac:dyDescent="0.3">
      <c r="T249" s="4"/>
      <c r="U249" s="3"/>
      <c r="V249" s="5"/>
    </row>
    <row r="250" spans="20:22" ht="14.55" x14ac:dyDescent="0.3">
      <c r="T250" s="4"/>
      <c r="U250" s="3"/>
      <c r="V250" s="5"/>
    </row>
    <row r="251" spans="20:22" ht="14.55" x14ac:dyDescent="0.3">
      <c r="T251" s="4"/>
      <c r="U251" s="3"/>
      <c r="V251" s="5"/>
    </row>
    <row r="252" spans="20:22" ht="14.55" x14ac:dyDescent="0.3">
      <c r="T252" s="4"/>
      <c r="U252" s="3"/>
      <c r="V252" s="5"/>
    </row>
    <row r="253" spans="20:22" ht="14.55" x14ac:dyDescent="0.3">
      <c r="T253" s="4"/>
      <c r="U253" s="3"/>
      <c r="V253" s="5"/>
    </row>
    <row r="254" spans="20:22" ht="14.55" x14ac:dyDescent="0.3">
      <c r="T254" s="4"/>
      <c r="U254" s="3"/>
      <c r="V254" s="5"/>
    </row>
    <row r="255" spans="20:22" ht="14.55" x14ac:dyDescent="0.3">
      <c r="T255" s="4"/>
      <c r="U255" s="3"/>
      <c r="V255" s="5"/>
    </row>
    <row r="256" spans="20:22" ht="14.55" x14ac:dyDescent="0.3">
      <c r="T256" s="4"/>
      <c r="U256" s="3"/>
      <c r="V256" s="5"/>
    </row>
    <row r="257" spans="20:22" ht="14.55" x14ac:dyDescent="0.3">
      <c r="T257" s="4"/>
      <c r="U257" s="3"/>
      <c r="V257" s="5"/>
    </row>
    <row r="258" spans="20:22" ht="14.55" x14ac:dyDescent="0.3">
      <c r="T258" s="4"/>
      <c r="U258" s="3"/>
      <c r="V258" s="5"/>
    </row>
    <row r="259" spans="20:22" ht="14.55" x14ac:dyDescent="0.3">
      <c r="T259" s="4"/>
      <c r="U259" s="3"/>
      <c r="V259" s="5"/>
    </row>
    <row r="260" spans="20:22" ht="14.55" x14ac:dyDescent="0.3">
      <c r="T260" s="4"/>
      <c r="U260" s="3"/>
      <c r="V260" s="5"/>
    </row>
    <row r="261" spans="20:22" ht="14.55" x14ac:dyDescent="0.3">
      <c r="T261" s="4"/>
      <c r="U261" s="3"/>
      <c r="V261" s="5"/>
    </row>
    <row r="262" spans="20:22" ht="14.55" x14ac:dyDescent="0.3">
      <c r="T262" s="4"/>
      <c r="U262" s="3"/>
      <c r="V262" s="5"/>
    </row>
    <row r="263" spans="20:22" ht="14.55" x14ac:dyDescent="0.3">
      <c r="T263" s="4"/>
      <c r="U263" s="3"/>
      <c r="V263" s="5"/>
    </row>
    <row r="264" spans="20:22" ht="14.55" x14ac:dyDescent="0.3">
      <c r="T264" s="4"/>
      <c r="U264" s="3"/>
      <c r="V264" s="5"/>
    </row>
    <row r="265" spans="20:22" ht="14.55" x14ac:dyDescent="0.3">
      <c r="T265" s="4"/>
      <c r="U265" s="3"/>
      <c r="V265" s="5"/>
    </row>
    <row r="266" spans="20:22" ht="14.55" x14ac:dyDescent="0.3">
      <c r="T266" s="4"/>
      <c r="U266" s="3"/>
      <c r="V266" s="5"/>
    </row>
    <row r="267" spans="20:22" ht="14.55" x14ac:dyDescent="0.3">
      <c r="T267" s="4"/>
      <c r="U267" s="3"/>
      <c r="V267" s="5"/>
    </row>
    <row r="268" spans="20:22" ht="14.55" x14ac:dyDescent="0.3">
      <c r="T268" s="4"/>
      <c r="U268" s="3"/>
      <c r="V268" s="5"/>
    </row>
    <row r="269" spans="20:22" ht="14.55" x14ac:dyDescent="0.3">
      <c r="T269" s="4"/>
      <c r="U269" s="3"/>
      <c r="V269" s="5"/>
    </row>
    <row r="270" spans="20:22" ht="14.55" x14ac:dyDescent="0.3">
      <c r="T270" s="4"/>
      <c r="U270" s="3"/>
      <c r="V270" s="5"/>
    </row>
    <row r="271" spans="20:22" ht="14.55" x14ac:dyDescent="0.3">
      <c r="T271" s="4"/>
      <c r="U271" s="3"/>
      <c r="V271" s="5"/>
    </row>
    <row r="272" spans="20:22" ht="14.55" x14ac:dyDescent="0.3">
      <c r="T272" s="4"/>
      <c r="U272" s="3"/>
      <c r="V272" s="5"/>
    </row>
    <row r="273" spans="20:22" ht="14.55" x14ac:dyDescent="0.3">
      <c r="T273" s="4"/>
      <c r="U273" s="3"/>
      <c r="V273" s="5"/>
    </row>
    <row r="274" spans="20:22" ht="14.55" x14ac:dyDescent="0.3">
      <c r="T274" s="4"/>
      <c r="U274" s="3"/>
      <c r="V274" s="5"/>
    </row>
    <row r="275" spans="20:22" ht="14.55" x14ac:dyDescent="0.3">
      <c r="T275" s="4"/>
      <c r="U275" s="3"/>
      <c r="V275" s="5"/>
    </row>
    <row r="276" spans="20:22" ht="14.55" x14ac:dyDescent="0.3">
      <c r="T276" s="4"/>
      <c r="U276" s="3"/>
      <c r="V276" s="5"/>
    </row>
    <row r="277" spans="20:22" ht="14.55" x14ac:dyDescent="0.3">
      <c r="T277" s="4"/>
      <c r="U277" s="3"/>
      <c r="V277" s="5"/>
    </row>
    <row r="278" spans="20:22" ht="14.55" x14ac:dyDescent="0.3">
      <c r="T278" s="4"/>
      <c r="U278" s="3"/>
      <c r="V278" s="5"/>
    </row>
    <row r="279" spans="20:22" ht="14.55" x14ac:dyDescent="0.3">
      <c r="T279" s="4"/>
      <c r="U279" s="3"/>
      <c r="V279" s="5"/>
    </row>
    <row r="280" spans="20:22" ht="14.55" x14ac:dyDescent="0.3">
      <c r="T280" s="4"/>
      <c r="U280" s="3"/>
      <c r="V280" s="5"/>
    </row>
    <row r="281" spans="20:22" ht="14.55" x14ac:dyDescent="0.3">
      <c r="T281" s="4"/>
      <c r="U281" s="3"/>
      <c r="V281" s="5"/>
    </row>
    <row r="282" spans="20:22" ht="14.55" x14ac:dyDescent="0.3">
      <c r="T282" s="4"/>
      <c r="U282" s="3"/>
      <c r="V282" s="5"/>
    </row>
    <row r="283" spans="20:22" ht="14.55" x14ac:dyDescent="0.3">
      <c r="T283" s="4"/>
      <c r="U283" s="3"/>
      <c r="V283" s="5"/>
    </row>
    <row r="284" spans="20:22" ht="14.55" x14ac:dyDescent="0.3">
      <c r="T284" s="4"/>
      <c r="U284" s="3"/>
      <c r="V284" s="5"/>
    </row>
    <row r="285" spans="20:22" ht="14.55" x14ac:dyDescent="0.3">
      <c r="T285" s="4"/>
      <c r="U285" s="3"/>
      <c r="V285" s="5"/>
    </row>
    <row r="286" spans="20:22" ht="14.55" x14ac:dyDescent="0.3">
      <c r="T286" s="4"/>
      <c r="U286" s="3"/>
      <c r="V286" s="5"/>
    </row>
    <row r="287" spans="20:22" ht="14.55" x14ac:dyDescent="0.3">
      <c r="T287" s="4"/>
      <c r="U287" s="3"/>
      <c r="V287" s="5"/>
    </row>
    <row r="288" spans="20:22" ht="14.55" x14ac:dyDescent="0.3">
      <c r="T288" s="4"/>
      <c r="U288" s="3"/>
      <c r="V288" s="5"/>
    </row>
    <row r="289" spans="20:22" ht="14.55" x14ac:dyDescent="0.3">
      <c r="T289" s="4"/>
      <c r="U289" s="3"/>
      <c r="V289" s="5"/>
    </row>
    <row r="290" spans="20:22" ht="14.55" x14ac:dyDescent="0.3">
      <c r="T290" s="4"/>
      <c r="U290" s="3"/>
      <c r="V290" s="5"/>
    </row>
    <row r="291" spans="20:22" ht="14.55" x14ac:dyDescent="0.3">
      <c r="T291" s="4"/>
      <c r="U291" s="3"/>
      <c r="V291" s="5"/>
    </row>
    <row r="292" spans="20:22" ht="14.55" x14ac:dyDescent="0.3">
      <c r="T292" s="4"/>
      <c r="U292" s="3"/>
      <c r="V292" s="5"/>
    </row>
    <row r="293" spans="20:22" ht="14.55" x14ac:dyDescent="0.3">
      <c r="T293" s="4"/>
      <c r="U293" s="3"/>
      <c r="V293" s="5"/>
    </row>
    <row r="294" spans="20:22" ht="14.55" x14ac:dyDescent="0.3">
      <c r="T294" s="4"/>
      <c r="U294" s="3"/>
      <c r="V294" s="5"/>
    </row>
    <row r="295" spans="20:22" ht="14.55" x14ac:dyDescent="0.3">
      <c r="T295" s="4"/>
      <c r="U295" s="3"/>
      <c r="V295" s="5"/>
    </row>
    <row r="296" spans="20:22" ht="14.55" x14ac:dyDescent="0.3">
      <c r="T296" s="4"/>
      <c r="U296" s="3"/>
      <c r="V296" s="5"/>
    </row>
    <row r="297" spans="20:22" ht="14.55" x14ac:dyDescent="0.3">
      <c r="T297" s="4"/>
      <c r="U297" s="3"/>
      <c r="V297" s="5"/>
    </row>
    <row r="298" spans="20:22" ht="14.55" x14ac:dyDescent="0.3">
      <c r="T298" s="4"/>
      <c r="U298" s="3"/>
      <c r="V298" s="5"/>
    </row>
    <row r="299" spans="20:22" ht="14.55" x14ac:dyDescent="0.3">
      <c r="T299" s="4"/>
      <c r="U299" s="3"/>
      <c r="V299" s="5"/>
    </row>
    <row r="300" spans="20:22" ht="14.55" x14ac:dyDescent="0.3">
      <c r="T300" s="4"/>
      <c r="U300" s="3"/>
      <c r="V300" s="5"/>
    </row>
    <row r="301" spans="20:22" ht="14.55" x14ac:dyDescent="0.3">
      <c r="T301" s="4"/>
      <c r="U301" s="3"/>
      <c r="V301" s="5"/>
    </row>
    <row r="302" spans="20:22" ht="14.55" x14ac:dyDescent="0.3">
      <c r="T302" s="4"/>
      <c r="U302" s="3"/>
      <c r="V302" s="5"/>
    </row>
    <row r="303" spans="20:22" ht="14.55" x14ac:dyDescent="0.3">
      <c r="T303" s="4"/>
      <c r="U303" s="3"/>
      <c r="V303" s="5"/>
    </row>
    <row r="304" spans="20:22" ht="14.55" x14ac:dyDescent="0.3">
      <c r="T304" s="4"/>
      <c r="U304" s="3"/>
      <c r="V304" s="5"/>
    </row>
    <row r="305" spans="20:22" ht="14.55" x14ac:dyDescent="0.3">
      <c r="T305" s="4"/>
      <c r="U305" s="3"/>
      <c r="V305" s="5"/>
    </row>
    <row r="306" spans="20:22" ht="14.55" x14ac:dyDescent="0.3">
      <c r="T306" s="4"/>
      <c r="U306" s="3"/>
      <c r="V306" s="5"/>
    </row>
    <row r="307" spans="20:22" ht="14.55" x14ac:dyDescent="0.3">
      <c r="T307" s="4"/>
      <c r="U307" s="3"/>
      <c r="V307" s="5"/>
    </row>
    <row r="308" spans="20:22" ht="14.55" x14ac:dyDescent="0.3">
      <c r="T308" s="4"/>
      <c r="U308" s="3"/>
      <c r="V308" s="5"/>
    </row>
    <row r="309" spans="20:22" ht="14.55" x14ac:dyDescent="0.3">
      <c r="T309" s="4"/>
      <c r="U309" s="3"/>
      <c r="V309" s="5"/>
    </row>
    <row r="310" spans="20:22" ht="14.55" x14ac:dyDescent="0.3">
      <c r="T310" s="4"/>
      <c r="U310" s="3"/>
      <c r="V310" s="5"/>
    </row>
    <row r="311" spans="20:22" ht="14.55" x14ac:dyDescent="0.3">
      <c r="T311" s="4"/>
      <c r="U311" s="3"/>
      <c r="V311" s="5"/>
    </row>
    <row r="312" spans="20:22" ht="14.55" x14ac:dyDescent="0.3">
      <c r="T312" s="4"/>
      <c r="U312" s="3"/>
      <c r="V312" s="5"/>
    </row>
    <row r="313" spans="20:22" ht="14.55" x14ac:dyDescent="0.3">
      <c r="T313" s="4"/>
      <c r="U313" s="3"/>
      <c r="V313" s="5"/>
    </row>
    <row r="314" spans="20:22" ht="14.55" x14ac:dyDescent="0.3">
      <c r="T314" s="4"/>
      <c r="U314" s="3"/>
      <c r="V314" s="5"/>
    </row>
    <row r="315" spans="20:22" ht="14.55" x14ac:dyDescent="0.3">
      <c r="T315" s="4"/>
      <c r="U315" s="3"/>
      <c r="V315" s="5"/>
    </row>
    <row r="316" spans="20:22" ht="14.55" x14ac:dyDescent="0.3">
      <c r="T316" s="4"/>
      <c r="U316" s="3"/>
      <c r="V316" s="5"/>
    </row>
    <row r="317" spans="20:22" ht="14.55" x14ac:dyDescent="0.3">
      <c r="T317" s="4"/>
      <c r="U317" s="3"/>
      <c r="V317" s="5"/>
    </row>
    <row r="318" spans="20:22" ht="14.55" x14ac:dyDescent="0.3">
      <c r="T318" s="4"/>
      <c r="U318" s="3"/>
      <c r="V318" s="5"/>
    </row>
    <row r="319" spans="20:22" ht="14.55" x14ac:dyDescent="0.3">
      <c r="T319" s="4"/>
      <c r="U319" s="3"/>
      <c r="V319" s="5"/>
    </row>
    <row r="320" spans="20:22" ht="14.55" x14ac:dyDescent="0.3">
      <c r="T320" s="4"/>
      <c r="U320" s="3"/>
      <c r="V320" s="5"/>
    </row>
    <row r="321" spans="20:22" ht="14.55" x14ac:dyDescent="0.3">
      <c r="T321" s="4"/>
      <c r="U321" s="3"/>
      <c r="V321" s="5"/>
    </row>
    <row r="322" spans="20:22" ht="14.55" x14ac:dyDescent="0.3">
      <c r="T322" s="4"/>
      <c r="U322" s="3"/>
      <c r="V322" s="5"/>
    </row>
    <row r="323" spans="20:22" ht="14.55" x14ac:dyDescent="0.3">
      <c r="T323" s="4"/>
      <c r="U323" s="3"/>
      <c r="V323" s="5"/>
    </row>
    <row r="324" spans="20:22" ht="14.55" x14ac:dyDescent="0.3">
      <c r="T324" s="4"/>
      <c r="U324" s="3"/>
      <c r="V324" s="5"/>
    </row>
    <row r="325" spans="20:22" ht="14.55" x14ac:dyDescent="0.3">
      <c r="T325" s="4"/>
      <c r="U325" s="3"/>
      <c r="V325" s="5"/>
    </row>
    <row r="326" spans="20:22" ht="14.55" x14ac:dyDescent="0.3">
      <c r="T326" s="4"/>
      <c r="U326" s="3"/>
      <c r="V326" s="5"/>
    </row>
    <row r="327" spans="20:22" ht="14.55" x14ac:dyDescent="0.3">
      <c r="T327" s="4"/>
      <c r="U327" s="3"/>
      <c r="V327" s="5"/>
    </row>
    <row r="328" spans="20:22" ht="14.55" x14ac:dyDescent="0.3">
      <c r="T328" s="4"/>
      <c r="U328" s="3"/>
      <c r="V328" s="5"/>
    </row>
    <row r="329" spans="20:22" ht="14.55" x14ac:dyDescent="0.3">
      <c r="T329" s="4"/>
      <c r="U329" s="3"/>
      <c r="V329" s="5"/>
    </row>
    <row r="330" spans="20:22" ht="14.55" x14ac:dyDescent="0.3">
      <c r="T330" s="4"/>
      <c r="U330" s="3"/>
      <c r="V330" s="5"/>
    </row>
    <row r="331" spans="20:22" ht="14.55" x14ac:dyDescent="0.3">
      <c r="T331" s="4"/>
      <c r="U331" s="3"/>
      <c r="V331" s="5"/>
    </row>
    <row r="332" spans="20:22" ht="14.55" x14ac:dyDescent="0.3">
      <c r="T332" s="4"/>
      <c r="U332" s="3"/>
      <c r="V332" s="5"/>
    </row>
    <row r="333" spans="20:22" ht="14.55" x14ac:dyDescent="0.3">
      <c r="T333" s="4"/>
      <c r="U333" s="3"/>
      <c r="V333" s="5"/>
    </row>
    <row r="334" spans="20:22" ht="14.55" x14ac:dyDescent="0.3">
      <c r="T334" s="4"/>
      <c r="U334" s="3"/>
      <c r="V334" s="5"/>
    </row>
    <row r="335" spans="20:22" ht="14.55" x14ac:dyDescent="0.3">
      <c r="T335" s="4"/>
      <c r="U335" s="3"/>
      <c r="V335" s="5"/>
    </row>
    <row r="336" spans="20:22" ht="14.55" x14ac:dyDescent="0.3">
      <c r="T336" s="4"/>
      <c r="U336" s="3"/>
      <c r="V336" s="5"/>
    </row>
    <row r="337" spans="20:22" ht="14.55" x14ac:dyDescent="0.3">
      <c r="T337" s="4"/>
      <c r="U337" s="3"/>
      <c r="V337" s="5"/>
    </row>
    <row r="338" spans="20:22" ht="14.55" x14ac:dyDescent="0.3">
      <c r="T338" s="4"/>
      <c r="U338" s="3"/>
      <c r="V338" s="5"/>
    </row>
    <row r="339" spans="20:22" ht="14.55" x14ac:dyDescent="0.3">
      <c r="T339" s="4"/>
      <c r="U339" s="3"/>
      <c r="V339" s="5"/>
    </row>
    <row r="340" spans="20:22" ht="14.55" x14ac:dyDescent="0.3">
      <c r="T340" s="4"/>
      <c r="U340" s="3"/>
      <c r="V340" s="5"/>
    </row>
    <row r="341" spans="20:22" ht="14.55" x14ac:dyDescent="0.3">
      <c r="T341" s="4"/>
      <c r="U341" s="3"/>
      <c r="V341" s="5"/>
    </row>
    <row r="342" spans="20:22" ht="14.55" x14ac:dyDescent="0.3">
      <c r="T342" s="4"/>
      <c r="U342" s="3"/>
      <c r="V342" s="5"/>
    </row>
    <row r="343" spans="20:22" ht="14.55" x14ac:dyDescent="0.3">
      <c r="T343" s="4"/>
      <c r="U343" s="3"/>
      <c r="V343" s="5"/>
    </row>
    <row r="344" spans="20:22" ht="14.55" x14ac:dyDescent="0.3">
      <c r="T344" s="4"/>
      <c r="U344" s="3"/>
      <c r="V344" s="5"/>
    </row>
    <row r="345" spans="20:22" ht="14.55" x14ac:dyDescent="0.3">
      <c r="T345" s="4"/>
      <c r="U345" s="3"/>
      <c r="V345" s="5"/>
    </row>
    <row r="346" spans="20:22" ht="14.55" x14ac:dyDescent="0.3">
      <c r="T346" s="4"/>
      <c r="U346" s="3"/>
      <c r="V346" s="5"/>
    </row>
    <row r="347" spans="20:22" ht="14.55" x14ac:dyDescent="0.3">
      <c r="T347" s="4"/>
      <c r="U347" s="3"/>
      <c r="V347" s="5"/>
    </row>
    <row r="348" spans="20:22" ht="14.55" x14ac:dyDescent="0.3">
      <c r="T348" s="4"/>
      <c r="U348" s="3"/>
      <c r="V348" s="5"/>
    </row>
    <row r="349" spans="20:22" ht="14.55" x14ac:dyDescent="0.3">
      <c r="T349" s="4"/>
      <c r="U349" s="3"/>
      <c r="V349" s="5"/>
    </row>
    <row r="350" spans="20:22" ht="14.55" x14ac:dyDescent="0.3">
      <c r="T350" s="4"/>
      <c r="U350" s="3"/>
      <c r="V350" s="5"/>
    </row>
    <row r="351" spans="20:22" ht="14.55" x14ac:dyDescent="0.3">
      <c r="T351" s="4"/>
      <c r="U351" s="3"/>
      <c r="V351" s="5"/>
    </row>
    <row r="352" spans="20:22" ht="14.55" x14ac:dyDescent="0.3">
      <c r="T352" s="4"/>
      <c r="U352" s="3"/>
      <c r="V352" s="5"/>
    </row>
    <row r="353" spans="20:22" ht="14.55" x14ac:dyDescent="0.3">
      <c r="T353" s="4"/>
      <c r="U353" s="3"/>
      <c r="V353" s="5"/>
    </row>
    <row r="354" spans="20:22" ht="14.55" x14ac:dyDescent="0.3">
      <c r="T354" s="4"/>
      <c r="U354" s="3"/>
      <c r="V354" s="5"/>
    </row>
    <row r="355" spans="20:22" ht="14.55" x14ac:dyDescent="0.3">
      <c r="T355" s="4"/>
      <c r="U355" s="3"/>
      <c r="V355" s="5"/>
    </row>
    <row r="356" spans="20:22" ht="14.55" x14ac:dyDescent="0.3">
      <c r="T356" s="4"/>
      <c r="U356" s="3"/>
      <c r="V356" s="5"/>
    </row>
    <row r="357" spans="20:22" ht="14.55" x14ac:dyDescent="0.3">
      <c r="T357" s="4"/>
      <c r="U357" s="3"/>
      <c r="V357" s="5"/>
    </row>
    <row r="358" spans="20:22" ht="14.55" x14ac:dyDescent="0.3">
      <c r="T358" s="4"/>
      <c r="U358" s="3"/>
      <c r="V358" s="5"/>
    </row>
    <row r="359" spans="20:22" ht="14.55" x14ac:dyDescent="0.3">
      <c r="T359" s="4"/>
      <c r="U359" s="3"/>
      <c r="V359" s="5"/>
    </row>
    <row r="360" spans="20:22" ht="14.55" x14ac:dyDescent="0.3">
      <c r="T360" s="4"/>
      <c r="U360" s="3"/>
      <c r="V360" s="5"/>
    </row>
    <row r="361" spans="20:22" ht="14.55" x14ac:dyDescent="0.3">
      <c r="T361" s="4"/>
      <c r="U361" s="3"/>
      <c r="V361" s="5"/>
    </row>
    <row r="362" spans="20:22" ht="14.55" x14ac:dyDescent="0.3">
      <c r="T362" s="4"/>
      <c r="U362" s="3"/>
      <c r="V362" s="5"/>
    </row>
    <row r="363" spans="20:22" ht="14.55" x14ac:dyDescent="0.3">
      <c r="T363" s="4"/>
      <c r="U363" s="3"/>
      <c r="V363" s="5"/>
    </row>
    <row r="364" spans="20:22" ht="14.55" x14ac:dyDescent="0.3">
      <c r="T364" s="4"/>
      <c r="U364" s="3"/>
      <c r="V364" s="5"/>
    </row>
    <row r="365" spans="20:22" ht="14.55" x14ac:dyDescent="0.3">
      <c r="T365" s="4"/>
      <c r="U365" s="3"/>
      <c r="V365" s="5"/>
    </row>
    <row r="366" spans="20:22" ht="14.55" x14ac:dyDescent="0.3">
      <c r="T366" s="4"/>
      <c r="U366" s="3"/>
      <c r="V366" s="5"/>
    </row>
    <row r="367" spans="20:22" ht="14.55" x14ac:dyDescent="0.3">
      <c r="T367" s="4"/>
      <c r="U367" s="3"/>
      <c r="V367" s="5"/>
    </row>
    <row r="368" spans="20:22" ht="14.55" x14ac:dyDescent="0.3">
      <c r="T368" s="4"/>
      <c r="U368" s="3"/>
      <c r="V368" s="5"/>
    </row>
    <row r="369" spans="20:22" ht="14.55" x14ac:dyDescent="0.3">
      <c r="T369" s="4"/>
      <c r="U369" s="3"/>
      <c r="V369" s="5"/>
    </row>
    <row r="370" spans="20:22" ht="14.55" x14ac:dyDescent="0.3">
      <c r="T370" s="4"/>
      <c r="U370" s="3"/>
      <c r="V370" s="5"/>
    </row>
    <row r="371" spans="20:22" ht="14.55" x14ac:dyDescent="0.3">
      <c r="T371" s="4"/>
      <c r="U371" s="3"/>
      <c r="V371" s="5"/>
    </row>
    <row r="372" spans="20:22" ht="14.55" x14ac:dyDescent="0.3">
      <c r="T372" s="4"/>
      <c r="U372" s="3"/>
      <c r="V372" s="5"/>
    </row>
    <row r="373" spans="20:22" ht="14.55" x14ac:dyDescent="0.3">
      <c r="T373" s="4"/>
      <c r="U373" s="3"/>
      <c r="V373" s="5"/>
    </row>
    <row r="374" spans="20:22" ht="14.55" x14ac:dyDescent="0.3">
      <c r="T374" s="4"/>
      <c r="U374" s="3"/>
      <c r="V374" s="5"/>
    </row>
    <row r="375" spans="20:22" ht="14.55" x14ac:dyDescent="0.3">
      <c r="T375" s="4"/>
      <c r="U375" s="3"/>
      <c r="V375" s="5"/>
    </row>
    <row r="376" spans="20:22" ht="14.55" x14ac:dyDescent="0.3">
      <c r="T376" s="4"/>
      <c r="U376" s="3"/>
      <c r="V376" s="5"/>
    </row>
    <row r="377" spans="20:22" ht="14.55" x14ac:dyDescent="0.3">
      <c r="T377" s="4"/>
      <c r="U377" s="3"/>
      <c r="V377" s="5"/>
    </row>
    <row r="378" spans="20:22" ht="14.55" x14ac:dyDescent="0.3">
      <c r="T378" s="4"/>
      <c r="U378" s="3"/>
      <c r="V378" s="5"/>
    </row>
    <row r="379" spans="20:22" ht="14.55" x14ac:dyDescent="0.3">
      <c r="T379" s="4"/>
      <c r="U379" s="3"/>
      <c r="V379" s="5"/>
    </row>
    <row r="380" spans="20:22" ht="14.55" x14ac:dyDescent="0.3">
      <c r="T380" s="4"/>
      <c r="U380" s="3"/>
      <c r="V380" s="5"/>
    </row>
    <row r="381" spans="20:22" ht="14.55" x14ac:dyDescent="0.3">
      <c r="T381" s="4"/>
      <c r="U381" s="3"/>
      <c r="V381" s="5"/>
    </row>
    <row r="382" spans="20:22" ht="14.55" x14ac:dyDescent="0.3">
      <c r="T382" s="4"/>
      <c r="U382" s="3"/>
      <c r="V382" s="5"/>
    </row>
    <row r="383" spans="20:22" ht="14.55" x14ac:dyDescent="0.3">
      <c r="T383" s="4"/>
      <c r="U383" s="3"/>
      <c r="V383" s="5"/>
    </row>
    <row r="384" spans="20:22" ht="14.55" x14ac:dyDescent="0.3">
      <c r="T384" s="4"/>
      <c r="U384" s="3"/>
      <c r="V384" s="5"/>
    </row>
    <row r="385" spans="20:22" ht="14.55" x14ac:dyDescent="0.3">
      <c r="T385" s="4"/>
      <c r="U385" s="3"/>
      <c r="V385" s="5"/>
    </row>
    <row r="386" spans="20:22" ht="14.55" x14ac:dyDescent="0.3">
      <c r="T386" s="4"/>
      <c r="U386" s="3"/>
      <c r="V386" s="5"/>
    </row>
    <row r="387" spans="20:22" ht="14.55" x14ac:dyDescent="0.3">
      <c r="T387" s="4"/>
      <c r="U387" s="3"/>
      <c r="V387" s="5"/>
    </row>
    <row r="388" spans="20:22" ht="14.55" x14ac:dyDescent="0.3">
      <c r="T388" s="4"/>
      <c r="U388" s="3"/>
      <c r="V388" s="5"/>
    </row>
    <row r="389" spans="20:22" ht="14.55" x14ac:dyDescent="0.3">
      <c r="T389" s="4"/>
      <c r="U389" s="3"/>
      <c r="V389" s="5"/>
    </row>
    <row r="390" spans="20:22" ht="14.55" x14ac:dyDescent="0.3">
      <c r="T390" s="4"/>
      <c r="U390" s="3"/>
      <c r="V390" s="5"/>
    </row>
    <row r="391" spans="20:22" ht="14.55" x14ac:dyDescent="0.3">
      <c r="T391" s="4"/>
      <c r="U391" s="3"/>
      <c r="V391" s="5"/>
    </row>
    <row r="392" spans="20:22" ht="14.55" x14ac:dyDescent="0.3">
      <c r="T392" s="4"/>
      <c r="U392" s="3"/>
      <c r="V392" s="5"/>
    </row>
    <row r="393" spans="20:22" ht="14.55" x14ac:dyDescent="0.3">
      <c r="T393" s="4"/>
      <c r="U393" s="3"/>
      <c r="V393" s="5"/>
    </row>
    <row r="394" spans="20:22" ht="14.55" x14ac:dyDescent="0.3">
      <c r="T394" s="4"/>
      <c r="U394" s="3"/>
      <c r="V394" s="5"/>
    </row>
    <row r="395" spans="20:22" ht="14.55" x14ac:dyDescent="0.3">
      <c r="T395" s="4"/>
      <c r="U395" s="3"/>
      <c r="V395" s="5"/>
    </row>
    <row r="396" spans="20:22" ht="14.55" x14ac:dyDescent="0.3">
      <c r="T396" s="4"/>
      <c r="U396" s="3"/>
      <c r="V396" s="5"/>
    </row>
    <row r="397" spans="20:22" ht="14.55" x14ac:dyDescent="0.3">
      <c r="T397" s="4"/>
      <c r="U397" s="3"/>
      <c r="V397" s="5"/>
    </row>
    <row r="398" spans="20:22" ht="14.55" x14ac:dyDescent="0.3">
      <c r="T398" s="4"/>
      <c r="U398" s="3"/>
      <c r="V398" s="5"/>
    </row>
    <row r="399" spans="20:22" ht="14.55" x14ac:dyDescent="0.3">
      <c r="T399" s="4"/>
      <c r="U399" s="3"/>
      <c r="V399" s="5"/>
    </row>
    <row r="400" spans="20:22" ht="14.55" x14ac:dyDescent="0.3">
      <c r="T400" s="4"/>
      <c r="U400" s="3"/>
      <c r="V400" s="5"/>
    </row>
    <row r="401" spans="20:22" ht="14.55" x14ac:dyDescent="0.3">
      <c r="T401" s="4"/>
      <c r="U401" s="3"/>
      <c r="V401" s="5"/>
    </row>
    <row r="402" spans="20:22" ht="14.55" x14ac:dyDescent="0.3">
      <c r="T402" s="4"/>
      <c r="U402" s="3"/>
      <c r="V402" s="5"/>
    </row>
    <row r="403" spans="20:22" ht="14.55" x14ac:dyDescent="0.3">
      <c r="T403" s="4"/>
      <c r="U403" s="3"/>
      <c r="V403" s="5"/>
    </row>
    <row r="404" spans="20:22" ht="14.55" x14ac:dyDescent="0.3">
      <c r="T404" s="4"/>
      <c r="U404" s="3"/>
      <c r="V404" s="5"/>
    </row>
    <row r="405" spans="20:22" ht="14.55" x14ac:dyDescent="0.3">
      <c r="T405" s="4"/>
      <c r="U405" s="3"/>
      <c r="V405" s="5"/>
    </row>
    <row r="406" spans="20:22" ht="14.55" x14ac:dyDescent="0.3">
      <c r="T406" s="4"/>
      <c r="U406" s="3"/>
      <c r="V406" s="5"/>
    </row>
    <row r="407" spans="20:22" ht="14.55" x14ac:dyDescent="0.3">
      <c r="T407" s="4"/>
      <c r="U407" s="3"/>
      <c r="V407" s="5"/>
    </row>
    <row r="408" spans="20:22" ht="14.55" x14ac:dyDescent="0.3">
      <c r="T408" s="4"/>
      <c r="U408" s="3"/>
      <c r="V408" s="5"/>
    </row>
    <row r="409" spans="20:22" ht="14.55" x14ac:dyDescent="0.3">
      <c r="T409" s="4"/>
      <c r="U409" s="3"/>
      <c r="V409" s="5"/>
    </row>
    <row r="410" spans="20:22" ht="14.55" x14ac:dyDescent="0.3">
      <c r="T410" s="4"/>
      <c r="U410" s="3"/>
      <c r="V410" s="5"/>
    </row>
    <row r="411" spans="20:22" ht="14.55" x14ac:dyDescent="0.3">
      <c r="T411" s="4"/>
      <c r="U411" s="3"/>
      <c r="V411" s="5"/>
    </row>
    <row r="412" spans="20:22" ht="14.55" x14ac:dyDescent="0.3">
      <c r="T412" s="4"/>
      <c r="U412" s="3"/>
      <c r="V412" s="5"/>
    </row>
    <row r="413" spans="20:22" ht="14.55" x14ac:dyDescent="0.3">
      <c r="T413" s="4"/>
      <c r="U413" s="3"/>
      <c r="V413" s="5"/>
    </row>
    <row r="414" spans="20:22" ht="14.55" x14ac:dyDescent="0.3">
      <c r="T414" s="4"/>
      <c r="U414" s="3"/>
      <c r="V414" s="5"/>
    </row>
    <row r="415" spans="20:22" ht="14.55" x14ac:dyDescent="0.3">
      <c r="T415" s="4"/>
      <c r="U415" s="3"/>
      <c r="V415" s="5"/>
    </row>
    <row r="416" spans="20:22" ht="14.55" x14ac:dyDescent="0.3">
      <c r="T416" s="4"/>
      <c r="U416" s="3"/>
      <c r="V416" s="5"/>
    </row>
    <row r="417" spans="20:22" ht="14.55" x14ac:dyDescent="0.3">
      <c r="T417" s="4"/>
      <c r="U417" s="3"/>
      <c r="V417" s="5"/>
    </row>
    <row r="418" spans="20:22" ht="14.55" x14ac:dyDescent="0.3">
      <c r="T418" s="4"/>
      <c r="U418" s="3"/>
      <c r="V418" s="5"/>
    </row>
    <row r="419" spans="20:22" ht="14.55" x14ac:dyDescent="0.3">
      <c r="T419" s="4"/>
      <c r="U419" s="3"/>
      <c r="V419" s="5"/>
    </row>
    <row r="420" spans="20:22" ht="14.55" x14ac:dyDescent="0.3">
      <c r="T420" s="4"/>
      <c r="U420" s="3"/>
      <c r="V420" s="5"/>
    </row>
    <row r="421" spans="20:22" ht="14.55" x14ac:dyDescent="0.3">
      <c r="T421" s="4"/>
      <c r="U421" s="3"/>
      <c r="V421" s="5"/>
    </row>
    <row r="422" spans="20:22" ht="14.55" x14ac:dyDescent="0.3">
      <c r="T422" s="4"/>
      <c r="U422" s="3"/>
      <c r="V422" s="5"/>
    </row>
    <row r="423" spans="20:22" ht="14.55" x14ac:dyDescent="0.3">
      <c r="T423" s="4"/>
      <c r="U423" s="3"/>
      <c r="V423" s="5"/>
    </row>
    <row r="424" spans="20:22" ht="14.55" x14ac:dyDescent="0.3">
      <c r="T424" s="4"/>
      <c r="U424" s="3"/>
      <c r="V424" s="5"/>
    </row>
    <row r="425" spans="20:22" ht="14.55" x14ac:dyDescent="0.3">
      <c r="T425" s="4"/>
      <c r="U425" s="3"/>
      <c r="V425" s="5"/>
    </row>
    <row r="426" spans="20:22" ht="14.55" x14ac:dyDescent="0.3">
      <c r="T426" s="4"/>
      <c r="U426" s="3"/>
      <c r="V426" s="5"/>
    </row>
    <row r="427" spans="20:22" ht="14.55" x14ac:dyDescent="0.3">
      <c r="T427" s="4"/>
      <c r="U427" s="3"/>
      <c r="V427" s="5"/>
    </row>
  </sheetData>
  <sheetProtection selectLockedCells="1"/>
  <mergeCells count="27">
    <mergeCell ref="E1:F5"/>
    <mergeCell ref="B6:C6"/>
    <mergeCell ref="E6:F6"/>
    <mergeCell ref="B9:C9"/>
    <mergeCell ref="B10:C10"/>
    <mergeCell ref="B7:C7"/>
    <mergeCell ref="B8:C8"/>
    <mergeCell ref="B1:C5"/>
    <mergeCell ref="B22:C22"/>
    <mergeCell ref="B11:C11"/>
    <mergeCell ref="B12:C12"/>
    <mergeCell ref="B13:C13"/>
    <mergeCell ref="B14:C14"/>
    <mergeCell ref="B15:C15"/>
    <mergeCell ref="B16:C16"/>
    <mergeCell ref="B17:C17"/>
    <mergeCell ref="B18:C18"/>
    <mergeCell ref="B19:C19"/>
    <mergeCell ref="B20:C20"/>
    <mergeCell ref="B21:C21"/>
    <mergeCell ref="A72:B72"/>
    <mergeCell ref="B27:J27"/>
    <mergeCell ref="B50:J50"/>
    <mergeCell ref="B23:C23"/>
    <mergeCell ref="B24:C24"/>
    <mergeCell ref="B25:C25"/>
    <mergeCell ref="E25:F2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C4C8E5D5A6C164A8E448796E40FD173" ma:contentTypeVersion="4" ma:contentTypeDescription="Ein neues Dokument erstellen." ma:contentTypeScope="" ma:versionID="989b68e4a45848f66c0795c656d6ca9e">
  <xsd:schema xmlns:xsd="http://www.w3.org/2001/XMLSchema" xmlns:xs="http://www.w3.org/2001/XMLSchema" xmlns:p="http://schemas.microsoft.com/office/2006/metadata/properties" xmlns:ns2="9023b41e-3f6c-4963-8963-28ca722c988c" targetNamespace="http://schemas.microsoft.com/office/2006/metadata/properties" ma:root="true" ma:fieldsID="f395fb3f90e448cabf9c047cdb3764d6" ns2:_="">
    <xsd:import namespace="9023b41e-3f6c-4963-8963-28ca722c988c"/>
    <xsd:element name="properties">
      <xsd:complexType>
        <xsd:sequence>
          <xsd:element name="documentManagement">
            <xsd:complexType>
              <xsd:all>
                <xsd:element ref="ns2:MediaServiceMetadata" minOccurs="0"/>
                <xsd:element ref="ns2:MediaServiceFastMetadata" minOccurs="0"/>
                <xsd:element ref="ns2:Abteilung"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b41e-3f6c-4963-8963-28ca722c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bteilung" ma:index="10" nillable="true" ma:displayName="Abteilung" ma:format="Dropdown" ma:internalName="Abteilung">
      <xsd:simpleType>
        <xsd:restriction base="dms:Choice">
          <xsd:enumeration value="Bauleistungen"/>
          <xsd:enumeration value="Liefer- und Dienstleistungen"/>
          <xsd:enumeration value="Operativer Einkauf"/>
        </xsd:restrictio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bteilung xmlns="9023b41e-3f6c-4963-8963-28ca722c988c" xsi:nil="true"/>
  </documentManagement>
</p:properties>
</file>

<file path=customXml/itemProps1.xml><?xml version="1.0" encoding="utf-8"?>
<ds:datastoreItem xmlns:ds="http://schemas.openxmlformats.org/officeDocument/2006/customXml" ds:itemID="{E9A70EB4-840A-4F3C-BFC8-24ACC9C4F0C1}">
  <ds:schemaRefs>
    <ds:schemaRef ds:uri="http://schemas.microsoft.com/sharepoint/v3/contenttype/forms"/>
  </ds:schemaRefs>
</ds:datastoreItem>
</file>

<file path=customXml/itemProps2.xml><?xml version="1.0" encoding="utf-8"?>
<ds:datastoreItem xmlns:ds="http://schemas.openxmlformats.org/officeDocument/2006/customXml" ds:itemID="{47E7A235-6D1A-4DA9-A6BD-D2214E4110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b41e-3f6c-4963-8963-28ca722c9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D2A3C-ABBB-4A8C-B8AE-67EE8572C7D9}">
  <ds:schemaRefs>
    <ds:schemaRef ds:uri="http://schemas.microsoft.com/office/2006/metadata/properties"/>
    <ds:schemaRef ds:uri="http://schemas.microsoft.com/office/infopath/2007/PartnerControls"/>
    <ds:schemaRef ds:uri="9023b41e-3f6c-4963-8963-28ca722c988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17</vt:i4>
      </vt:variant>
    </vt:vector>
  </HeadingPairs>
  <TitlesOfParts>
    <vt:vector size="41" baseType="lpstr">
      <vt:lpstr>Deckblatt</vt:lpstr>
      <vt:lpstr>Überblick</vt:lpstr>
      <vt:lpstr>Hochbauplanung</vt:lpstr>
      <vt:lpstr>Berechnung - Hochbau</vt:lpstr>
      <vt:lpstr>Berechnung - Abwasser</vt:lpstr>
      <vt:lpstr>Berechnung - Wärme</vt:lpstr>
      <vt:lpstr>Berechnung - Lufttechnik</vt:lpstr>
      <vt:lpstr>Berechnung - Starkstrom</vt:lpstr>
      <vt:lpstr>Berechnung - Förderanlagen</vt:lpstr>
      <vt:lpstr>Berechnung - Nutzeranlagen</vt:lpstr>
      <vt:lpstr>Berechnung - Gebäudeautomation</vt:lpstr>
      <vt:lpstr>Berechnung - Wärmeschutz</vt:lpstr>
      <vt:lpstr>Berechnung - Bauakustik</vt:lpstr>
      <vt:lpstr>Berechnung - Raumakustik</vt:lpstr>
      <vt:lpstr>Berechnung - Tragswerksplanung</vt:lpstr>
      <vt:lpstr>Berechnung - Freianlagen</vt:lpstr>
      <vt:lpstr>Technische Ausrüstung</vt:lpstr>
      <vt:lpstr>Berechnung - Tech. Ausrüstung</vt:lpstr>
      <vt:lpstr>weitere Besondere Leistungen</vt:lpstr>
      <vt:lpstr>Berechnung besondere Leistungen</vt:lpstr>
      <vt:lpstr>Berechnung - GÜ-Berater</vt:lpstr>
      <vt:lpstr>Auftragsänderungen &amp; -ergänzung</vt:lpstr>
      <vt:lpstr>Angebotszusammenfassung</vt:lpstr>
      <vt:lpstr>Berechnung Auftragsänderung</vt:lpstr>
      <vt:lpstr>'Berechnung - Bauakustik'!ak</vt:lpstr>
      <vt:lpstr>'Berechnung - Freianlagen'!ak</vt:lpstr>
      <vt:lpstr>'Berechnung - Hochbau'!ak</vt:lpstr>
      <vt:lpstr>'Berechnung - Raumakustik'!ak</vt:lpstr>
      <vt:lpstr>'Berechnung - Tragswerksplanung'!ak</vt:lpstr>
      <vt:lpstr>'Berechnung - Wärmeschutz'!ak</vt:lpstr>
      <vt:lpstr>Brutto</vt:lpstr>
      <vt:lpstr>'Auftragsänderungen &amp; -ergänzung'!Druckbereich</vt:lpstr>
      <vt:lpstr>Hochbauplanung!Druckbereich</vt:lpstr>
      <vt:lpstr>'Technische Ausrüstung'!Druckbereich</vt:lpstr>
      <vt:lpstr>Überblick!Druckbereich</vt:lpstr>
      <vt:lpstr>'weitere Besondere Leistungen'!Druckbereich</vt:lpstr>
      <vt:lpstr>Nachlass_Prozente</vt:lpstr>
      <vt:lpstr>Nachlass_Prozenze</vt:lpstr>
      <vt:lpstr>Netto</vt:lpstr>
      <vt:lpstr>Netto_Nachlass</vt:lpstr>
      <vt:lpstr>Ust</vt:lpstr>
    </vt:vector>
  </TitlesOfParts>
  <Manager/>
  <Company>BIM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Angebotseinholung_Honorarangebot Planungsleistungen_Architekt</dc:title>
  <dc:subject/>
  <dc:creator>Leif-Holden Dimitriadis</dc:creator>
  <cp:keywords>Angebotseinholung_Honorarangebot Planungsleistungen_Architekt</cp:keywords>
  <dc:description/>
  <cp:lastModifiedBy>Hannes Klinger</cp:lastModifiedBy>
  <cp:revision/>
  <cp:lastPrinted>2023-11-06T14:39:10Z</cp:lastPrinted>
  <dcterms:created xsi:type="dcterms:W3CDTF">2009-08-27T11:19:13Z</dcterms:created>
  <dcterms:modified xsi:type="dcterms:W3CDTF">2023-12-05T13:16:54Z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0x0101005C4C8E5D5A6C164A8E448796E40FD173</vt:lpwstr>
  </property>
  <property fmtid="{D5CDD505-2E9C-101B-9397-08002B2CF9AE}" pid="3" name="TaxKeyword">
    <vt:lpwstr>1986;#Angebotseinholung_Honorarangebot Planungsleistungen_Architekt|d4e81a75-1fad-4a33-87cc-ab7ad26dcacd</vt:lpwstr>
  </property>
  <property fmtid="{D5CDD505-2E9C-101B-9397-08002B2CF9AE}" pid="4" name="Prozessbeteiligte">
    <vt:lpwstr/>
  </property>
  <property fmtid="{D5CDD505-2E9C-101B-9397-08002B2CF9AE}" pid="5" name="sform">
    <vt:lpwstr>865;#Architekten- und Planerleistungen|1e066981-a561-49c2-ac23-abc41efb4920;#866;#VOF Ausschreibung und Vergabe|8e3b8df3-82c6-48b5-bee1-14df49de9883;#856;#sonstige Vorlagen VOF|6adad01f-f175-4c00-ace1-ae7446359d6c</vt:lpwstr>
  </property>
  <property fmtid="{D5CDD505-2E9C-101B-9397-08002B2CF9AE}" pid="6" name="Order">
    <vt:r8>19100</vt:r8>
  </property>
  <property fmtid="{D5CDD505-2E9C-101B-9397-08002B2CF9AE}" pid="7" name="xd_ProgID">
    <vt:lpwstr/>
  </property>
  <property fmtid="{D5CDD505-2E9C-101B-9397-08002B2CF9AE}" pid="8" name="TemplateUrl">
    <vt:lpwstr/>
  </property>
  <property fmtid="{D5CDD505-2E9C-101B-9397-08002B2CF9AE}" pid="9" name="TaxCatchAll">
    <vt:lpwstr>856;#;#866;#;#865;#;#1986;#</vt:lpwstr>
  </property>
</Properties>
</file>